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5895" windowWidth="19440" windowHeight="2175"/>
  </bookViews>
  <sheets>
    <sheet name="LBP NO. 1" sheetId="1" r:id="rId1"/>
    <sheet name="LBP NO. 2" sheetId="63" r:id="rId2"/>
    <sheet name="LBP NO. 2a" sheetId="16" r:id="rId3"/>
    <sheet name="LBP NO. 3a per office" sheetId="58" state="hidden" r:id="rId4"/>
    <sheet name="LBP No. 4" sheetId="45" state="hidden" r:id="rId5"/>
    <sheet name="LBP NO. 5" sheetId="19" state="hidden" r:id="rId6"/>
    <sheet name="LBP NO. 6" sheetId="20" state="hidden" r:id="rId7"/>
    <sheet name="LBP NO. 7" sheetId="44" state="hidden" r:id="rId8"/>
    <sheet name="PROPOSED BUDGET" sheetId="5" state="hidden" r:id="rId9"/>
    <sheet name="2021 Annual Budget" sheetId="13" state="hidden" r:id="rId10"/>
  </sheets>
  <externalReferences>
    <externalReference r:id="rId11"/>
    <externalReference r:id="rId12"/>
  </externalReferences>
  <definedNames>
    <definedName name="_xlnm.Print_Area" localSheetId="9">'2021 Annual Budget'!$A$233:$J$285</definedName>
    <definedName name="_xlnm.Print_Area" localSheetId="0">'LBP NO. 1'!$A$73:$N$141</definedName>
    <definedName name="_xlnm.Print_Area" localSheetId="1">'LBP NO. 2'!$A$959:$M$1021</definedName>
    <definedName name="_xlnm.Print_Area" localSheetId="2">'LBP NO. 2a'!$A$2:$K$47</definedName>
    <definedName name="_xlnm.Print_Area" localSheetId="3">'LBP NO. 3a per office'!$A$364:$M$422</definedName>
    <definedName name="_xlnm.Print_Area" localSheetId="4">'LBP No. 4'!$D$380:$M$427</definedName>
    <definedName name="_xlnm.Print_Area" localSheetId="5">'LBP NO. 5'!$A$4:$L$78</definedName>
    <definedName name="_xlnm.Print_Area" localSheetId="6">'LBP NO. 6'!$A$72:$I$109</definedName>
    <definedName name="_xlnm.Print_Area" localSheetId="7">'LBP NO. 7'!$N$7:$R$71</definedName>
    <definedName name="_xlnm.Print_Area" localSheetId="8">'PROPOSED BUDGET'!$A$130:$I$182</definedName>
    <definedName name="_xlnm.Print_Titles" localSheetId="9">'2021 Annual Budget'!$1:$7</definedName>
    <definedName name="_xlnm.Print_Titles" localSheetId="2">'LBP NO. 2a'!$97:$106</definedName>
    <definedName name="_xlnm.Print_Titles" localSheetId="4">'LBP No. 4'!$392:$393</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78" i="13" l="1"/>
  <c r="I275" i="13" l="1"/>
  <c r="I272" i="13"/>
  <c r="I271" i="13"/>
  <c r="I270" i="13"/>
  <c r="I269" i="13"/>
  <c r="I268" i="13"/>
  <c r="I267" i="13"/>
  <c r="I266" i="13"/>
  <c r="I265" i="13"/>
  <c r="I264" i="13"/>
  <c r="I263" i="13"/>
  <c r="I258" i="13"/>
  <c r="I257" i="13"/>
  <c r="I256" i="13"/>
  <c r="I255" i="13"/>
  <c r="I254" i="13"/>
  <c r="I253" i="13"/>
  <c r="I252" i="13"/>
  <c r="I251" i="13"/>
  <c r="I250" i="13"/>
  <c r="I249" i="13"/>
  <c r="I248" i="13"/>
  <c r="I247" i="13"/>
  <c r="I246" i="13"/>
  <c r="I245" i="13"/>
  <c r="I244" i="13"/>
  <c r="I243" i="13"/>
  <c r="I242" i="13"/>
  <c r="I241" i="13"/>
  <c r="I145" i="13"/>
  <c r="I144" i="13"/>
  <c r="I143" i="13"/>
  <c r="I110" i="13"/>
  <c r="I109" i="13"/>
  <c r="I108" i="13"/>
  <c r="I104" i="13"/>
  <c r="I103" i="13"/>
  <c r="I102" i="13"/>
  <c r="I98" i="13"/>
  <c r="I97" i="13"/>
  <c r="I96" i="13"/>
  <c r="I92" i="13"/>
  <c r="I91" i="13"/>
  <c r="I90" i="13"/>
  <c r="I86" i="13"/>
  <c r="I85" i="13"/>
  <c r="I84" i="13"/>
  <c r="I80" i="13"/>
  <c r="I79" i="13"/>
  <c r="I78" i="13"/>
  <c r="I74" i="13"/>
  <c r="I73" i="13"/>
  <c r="I72" i="13"/>
  <c r="I65" i="13"/>
  <c r="I64" i="13"/>
  <c r="I63" i="13"/>
  <c r="I59" i="13"/>
  <c r="I58" i="13"/>
  <c r="I57" i="13"/>
  <c r="I52" i="13"/>
  <c r="I51" i="13"/>
  <c r="I50" i="13"/>
  <c r="I47" i="13"/>
  <c r="I46" i="13"/>
  <c r="I45" i="13"/>
  <c r="I41" i="13"/>
  <c r="I40" i="13"/>
  <c r="I39" i="13"/>
  <c r="I34" i="13"/>
  <c r="I33" i="13"/>
  <c r="I32" i="13"/>
  <c r="I29" i="13"/>
  <c r="I28" i="13"/>
  <c r="I27" i="13"/>
  <c r="H158" i="5"/>
  <c r="H157" i="5"/>
  <c r="H156" i="5"/>
  <c r="H96" i="5"/>
  <c r="H95" i="5"/>
  <c r="H94" i="5"/>
  <c r="H93" i="5"/>
  <c r="H92" i="5"/>
  <c r="H91" i="5"/>
  <c r="H90" i="5"/>
  <c r="H89" i="5"/>
  <c r="H88" i="5"/>
  <c r="H87" i="5"/>
  <c r="H86" i="5"/>
  <c r="H85" i="5"/>
  <c r="H84" i="5"/>
  <c r="H83" i="5"/>
  <c r="H78" i="5"/>
  <c r="H77" i="5"/>
  <c r="H76" i="5"/>
  <c r="H75" i="5"/>
  <c r="H74" i="5"/>
  <c r="H73" i="5"/>
  <c r="H72" i="5"/>
  <c r="H71" i="5"/>
  <c r="H70" i="5"/>
  <c r="H69" i="5"/>
  <c r="H68" i="5"/>
  <c r="H67" i="5"/>
  <c r="H66" i="5"/>
  <c r="H65" i="5"/>
  <c r="H45" i="5"/>
  <c r="H44" i="5"/>
  <c r="H43" i="5"/>
  <c r="H42" i="5"/>
  <c r="H41" i="5"/>
  <c r="H40" i="5"/>
  <c r="H39" i="5"/>
  <c r="H38" i="5"/>
  <c r="H37" i="5"/>
  <c r="H36" i="5"/>
  <c r="H35" i="5"/>
  <c r="H34" i="5"/>
  <c r="H33" i="5"/>
  <c r="H32" i="5"/>
  <c r="J206" i="16"/>
  <c r="I206" i="16"/>
  <c r="H206" i="16"/>
  <c r="G206" i="16"/>
  <c r="K206" i="16"/>
  <c r="L1013" i="63"/>
  <c r="K1013" i="63"/>
  <c r="K1011" i="63"/>
  <c r="J1011" i="63"/>
  <c r="J1014" i="63" s="1"/>
  <c r="I1011" i="63"/>
  <c r="L1010" i="63"/>
  <c r="L1009" i="63"/>
  <c r="L1008" i="63"/>
  <c r="M1007" i="63"/>
  <c r="M1011" i="63" s="1"/>
  <c r="M1014" i="63" s="1"/>
  <c r="L1007" i="63"/>
  <c r="L1006" i="63"/>
  <c r="L1011" i="63" s="1"/>
  <c r="K1006" i="63"/>
  <c r="J1004" i="63"/>
  <c r="I1004" i="63"/>
  <c r="L1003" i="63"/>
  <c r="L1002" i="63"/>
  <c r="K1002" i="63"/>
  <c r="K1001" i="63"/>
  <c r="L1001" i="63" s="1"/>
  <c r="L1000" i="63"/>
  <c r="L999" i="63"/>
  <c r="K999" i="63"/>
  <c r="M998" i="63"/>
  <c r="L998" i="63"/>
  <c r="K998" i="63"/>
  <c r="K997" i="63"/>
  <c r="L997" i="63" s="1"/>
  <c r="M996" i="63"/>
  <c r="L996" i="63"/>
  <c r="K996" i="63"/>
  <c r="L995" i="63"/>
  <c r="K995" i="63"/>
  <c r="M994" i="63"/>
  <c r="M1004" i="63" s="1"/>
  <c r="K994" i="63"/>
  <c r="L994" i="63" s="1"/>
  <c r="M992" i="63"/>
  <c r="J992" i="63"/>
  <c r="I992" i="63"/>
  <c r="I1014" i="63" s="1"/>
  <c r="L991" i="63"/>
  <c r="K990" i="63"/>
  <c r="L990" i="63" s="1"/>
  <c r="L989" i="63"/>
  <c r="K989" i="63"/>
  <c r="K988" i="63"/>
  <c r="L988" i="63" s="1"/>
  <c r="L987" i="63"/>
  <c r="K987" i="63"/>
  <c r="K986" i="63"/>
  <c r="L986" i="63" s="1"/>
  <c r="L985" i="63"/>
  <c r="K985" i="63"/>
  <c r="K984" i="63"/>
  <c r="L984" i="63" s="1"/>
  <c r="L983" i="63"/>
  <c r="K983" i="63"/>
  <c r="K982" i="63"/>
  <c r="L982" i="63" s="1"/>
  <c r="L981" i="63"/>
  <c r="K981" i="63"/>
  <c r="K980" i="63"/>
  <c r="L980" i="63" s="1"/>
  <c r="L979" i="63"/>
  <c r="K979" i="63"/>
  <c r="K978" i="63"/>
  <c r="L978" i="63" s="1"/>
  <c r="L977" i="63"/>
  <c r="K977" i="63"/>
  <c r="K976" i="63"/>
  <c r="L976" i="63" s="1"/>
  <c r="L975" i="63"/>
  <c r="K975" i="63"/>
  <c r="K974" i="63"/>
  <c r="L974" i="63" s="1"/>
  <c r="L972" i="63"/>
  <c r="K972" i="63"/>
  <c r="K971" i="63"/>
  <c r="K992" i="63" s="1"/>
  <c r="J931" i="63"/>
  <c r="I931" i="63"/>
  <c r="K930" i="63"/>
  <c r="L930" i="63" s="1"/>
  <c r="M929" i="63"/>
  <c r="M931" i="63" s="1"/>
  <c r="L929" i="63"/>
  <c r="K928" i="63"/>
  <c r="L928" i="63" s="1"/>
  <c r="J926" i="63"/>
  <c r="I926" i="63"/>
  <c r="I933" i="63" s="1"/>
  <c r="L925" i="63"/>
  <c r="K925" i="63"/>
  <c r="K924" i="63"/>
  <c r="L924" i="63" s="1"/>
  <c r="M923" i="63"/>
  <c r="K923" i="63"/>
  <c r="L923" i="63" s="1"/>
  <c r="M922" i="63"/>
  <c r="M926" i="63" s="1"/>
  <c r="L922" i="63"/>
  <c r="K922" i="63"/>
  <c r="K921" i="63"/>
  <c r="L921" i="63" s="1"/>
  <c r="M920" i="63"/>
  <c r="K920" i="63"/>
  <c r="K926" i="63" s="1"/>
  <c r="M918" i="63"/>
  <c r="I918" i="63"/>
  <c r="L917" i="63"/>
  <c r="J916" i="63"/>
  <c r="J918" i="63" s="1"/>
  <c r="L915" i="63"/>
  <c r="K915" i="63"/>
  <c r="I915" i="63"/>
  <c r="L914" i="63"/>
  <c r="K914" i="63"/>
  <c r="K913" i="63"/>
  <c r="L913" i="63" s="1"/>
  <c r="L912" i="63"/>
  <c r="K912" i="63"/>
  <c r="I912" i="63"/>
  <c r="K911" i="63"/>
  <c r="L911" i="63" s="1"/>
  <c r="L910" i="63"/>
  <c r="K910" i="63"/>
  <c r="K909" i="63"/>
  <c r="L909" i="63" s="1"/>
  <c r="J909" i="63"/>
  <c r="K908" i="63"/>
  <c r="L908" i="63" s="1"/>
  <c r="L907" i="63"/>
  <c r="K907" i="63"/>
  <c r="K906" i="63"/>
  <c r="L906" i="63" s="1"/>
  <c r="L905" i="63"/>
  <c r="K905" i="63"/>
  <c r="K903" i="63"/>
  <c r="M865" i="63"/>
  <c r="K865" i="63"/>
  <c r="J865" i="63"/>
  <c r="I865" i="63"/>
  <c r="K864" i="63"/>
  <c r="L864" i="63" s="1"/>
  <c r="L865" i="63" s="1"/>
  <c r="M862" i="63"/>
  <c r="M867" i="63" s="1"/>
  <c r="J862" i="63"/>
  <c r="I862" i="63"/>
  <c r="I867" i="63" s="1"/>
  <c r="L861" i="63"/>
  <c r="K861" i="63"/>
  <c r="L860" i="63"/>
  <c r="K860" i="63"/>
  <c r="L859" i="63"/>
  <c r="K859" i="63"/>
  <c r="L858" i="63"/>
  <c r="K858" i="63"/>
  <c r="L857" i="63"/>
  <c r="K857" i="63"/>
  <c r="L856" i="63"/>
  <c r="L862" i="63" s="1"/>
  <c r="K856" i="63"/>
  <c r="K862" i="63" s="1"/>
  <c r="M854" i="63"/>
  <c r="L853" i="63"/>
  <c r="K852" i="63"/>
  <c r="L852" i="63" s="1"/>
  <c r="J852" i="63"/>
  <c r="K851" i="63"/>
  <c r="L851" i="63" s="1"/>
  <c r="I851" i="63"/>
  <c r="L850" i="63"/>
  <c r="K850" i="63"/>
  <c r="L849" i="63"/>
  <c r="K849" i="63"/>
  <c r="L848" i="63"/>
  <c r="K848" i="63"/>
  <c r="I848" i="63"/>
  <c r="I854" i="63" s="1"/>
  <c r="L847" i="63"/>
  <c r="K847" i="63"/>
  <c r="J846" i="63"/>
  <c r="K846" i="63" s="1"/>
  <c r="L846" i="63" s="1"/>
  <c r="L845" i="63"/>
  <c r="K845" i="63"/>
  <c r="K844" i="63"/>
  <c r="L844" i="63" s="1"/>
  <c r="L843" i="63"/>
  <c r="K843" i="63"/>
  <c r="K842" i="63"/>
  <c r="L842" i="63" s="1"/>
  <c r="L841" i="63"/>
  <c r="K841" i="63"/>
  <c r="K840" i="63"/>
  <c r="L840" i="63" s="1"/>
  <c r="L839" i="63"/>
  <c r="K839" i="63"/>
  <c r="K837" i="63"/>
  <c r="K854" i="63" s="1"/>
  <c r="J805" i="63"/>
  <c r="I805" i="63"/>
  <c r="L804" i="63"/>
  <c r="K804" i="63"/>
  <c r="M803" i="63"/>
  <c r="M805" i="63" s="1"/>
  <c r="L803" i="63"/>
  <c r="L802" i="63"/>
  <c r="L805" i="63" s="1"/>
  <c r="K802" i="63"/>
  <c r="K805" i="63" s="1"/>
  <c r="J800" i="63"/>
  <c r="K799" i="63"/>
  <c r="L799" i="63" s="1"/>
  <c r="I799" i="63"/>
  <c r="L798" i="63"/>
  <c r="K798" i="63"/>
  <c r="M797" i="63"/>
  <c r="L797" i="63"/>
  <c r="K797" i="63"/>
  <c r="K796" i="63"/>
  <c r="L796" i="63" s="1"/>
  <c r="I796" i="63"/>
  <c r="I800" i="63" s="1"/>
  <c r="L795" i="63"/>
  <c r="K795" i="63"/>
  <c r="M794" i="63"/>
  <c r="L794" i="63"/>
  <c r="K794" i="63"/>
  <c r="K793" i="63"/>
  <c r="L793" i="63" s="1"/>
  <c r="M792" i="63"/>
  <c r="M800" i="63" s="1"/>
  <c r="L792" i="63"/>
  <c r="K792" i="63"/>
  <c r="M790" i="63"/>
  <c r="L789" i="63"/>
  <c r="K789" i="63"/>
  <c r="L788" i="63"/>
  <c r="L787" i="63"/>
  <c r="K787" i="63"/>
  <c r="J787" i="63"/>
  <c r="K786" i="63"/>
  <c r="L786" i="63" s="1"/>
  <c r="I786" i="63"/>
  <c r="L785" i="63"/>
  <c r="K785" i="63"/>
  <c r="L784" i="63"/>
  <c r="K784" i="63"/>
  <c r="L783" i="63"/>
  <c r="K783" i="63"/>
  <c r="I783" i="63"/>
  <c r="I790" i="63" s="1"/>
  <c r="L782" i="63"/>
  <c r="K782" i="63"/>
  <c r="J781" i="63"/>
  <c r="L780" i="63"/>
  <c r="K780" i="63"/>
  <c r="K779" i="63"/>
  <c r="L779" i="63" s="1"/>
  <c r="L778" i="63"/>
  <c r="K778" i="63"/>
  <c r="K777" i="63"/>
  <c r="L777" i="63" s="1"/>
  <c r="L776" i="63"/>
  <c r="K776" i="63"/>
  <c r="K775" i="63"/>
  <c r="L775" i="63" s="1"/>
  <c r="L774" i="63"/>
  <c r="K774" i="63"/>
  <c r="K773" i="63"/>
  <c r="L773" i="63" s="1"/>
  <c r="L772" i="63"/>
  <c r="K772" i="63"/>
  <c r="K771" i="63"/>
  <c r="L771" i="63" s="1"/>
  <c r="L769" i="63"/>
  <c r="K769" i="63"/>
  <c r="M735" i="63"/>
  <c r="J735" i="63"/>
  <c r="I735" i="63"/>
  <c r="I737" i="63" s="1"/>
  <c r="L734" i="63"/>
  <c r="K734" i="63"/>
  <c r="M733" i="63"/>
  <c r="L733" i="63"/>
  <c r="L732" i="63"/>
  <c r="K732" i="63"/>
  <c r="K735" i="63" s="1"/>
  <c r="L731" i="63"/>
  <c r="M729" i="63"/>
  <c r="J729" i="63"/>
  <c r="I729" i="63"/>
  <c r="L728" i="63"/>
  <c r="K728" i="63"/>
  <c r="L727" i="63"/>
  <c r="K727" i="63"/>
  <c r="L726" i="63"/>
  <c r="K726" i="63"/>
  <c r="M725" i="63"/>
  <c r="L725" i="63"/>
  <c r="K725" i="63"/>
  <c r="K724" i="63"/>
  <c r="L724" i="63" s="1"/>
  <c r="M723" i="63"/>
  <c r="L723" i="63"/>
  <c r="K723" i="63"/>
  <c r="L722" i="63"/>
  <c r="K722" i="63"/>
  <c r="M721" i="63"/>
  <c r="K721" i="63"/>
  <c r="M719" i="63"/>
  <c r="J719" i="63"/>
  <c r="I719" i="63"/>
  <c r="L718" i="63"/>
  <c r="K717" i="63"/>
  <c r="L717" i="63" s="1"/>
  <c r="L716" i="63"/>
  <c r="K716" i="63"/>
  <c r="I716" i="63"/>
  <c r="L715" i="63"/>
  <c r="K715" i="63"/>
  <c r="L714" i="63"/>
  <c r="K714" i="63"/>
  <c r="L713" i="63"/>
  <c r="K713" i="63"/>
  <c r="I713" i="63"/>
  <c r="K712" i="63"/>
  <c r="L712" i="63" s="1"/>
  <c r="L711" i="63"/>
  <c r="K711" i="63"/>
  <c r="K710" i="63"/>
  <c r="L710" i="63" s="1"/>
  <c r="L709" i="63"/>
  <c r="K709" i="63"/>
  <c r="K708" i="63"/>
  <c r="L708" i="63" s="1"/>
  <c r="L707" i="63"/>
  <c r="K707" i="63"/>
  <c r="K706" i="63"/>
  <c r="L706" i="63" s="1"/>
  <c r="L705" i="63"/>
  <c r="K705" i="63"/>
  <c r="K704" i="63"/>
  <c r="L704" i="63" s="1"/>
  <c r="L703" i="63"/>
  <c r="K703" i="63"/>
  <c r="K701" i="63"/>
  <c r="J670" i="63"/>
  <c r="J668" i="63"/>
  <c r="I668" i="63"/>
  <c r="K667" i="63"/>
  <c r="L667" i="63" s="1"/>
  <c r="M666" i="63"/>
  <c r="L666" i="63"/>
  <c r="K665" i="63"/>
  <c r="L665" i="63" s="1"/>
  <c r="M664" i="63"/>
  <c r="M668" i="63" s="1"/>
  <c r="L664" i="63"/>
  <c r="K664" i="63"/>
  <c r="M662" i="63"/>
  <c r="J662" i="63"/>
  <c r="I662" i="63"/>
  <c r="L661" i="63"/>
  <c r="K661" i="63"/>
  <c r="K660" i="63"/>
  <c r="L660" i="63" s="1"/>
  <c r="L659" i="63"/>
  <c r="K659" i="63"/>
  <c r="M658" i="63"/>
  <c r="L658" i="63"/>
  <c r="K658" i="63"/>
  <c r="L657" i="63"/>
  <c r="K657" i="63"/>
  <c r="M656" i="63"/>
  <c r="L656" i="63"/>
  <c r="K656" i="63"/>
  <c r="K655" i="63"/>
  <c r="M654" i="63"/>
  <c r="L654" i="63"/>
  <c r="K654" i="63"/>
  <c r="M652" i="63"/>
  <c r="J652" i="63"/>
  <c r="I652" i="63"/>
  <c r="I670" i="63" s="1"/>
  <c r="L651" i="63"/>
  <c r="L650" i="63"/>
  <c r="K650" i="63"/>
  <c r="K649" i="63"/>
  <c r="L649" i="63" s="1"/>
  <c r="I649" i="63"/>
  <c r="K648" i="63"/>
  <c r="L648" i="63" s="1"/>
  <c r="L647" i="63"/>
  <c r="K647" i="63"/>
  <c r="K646" i="63"/>
  <c r="L646" i="63" s="1"/>
  <c r="I646" i="63"/>
  <c r="L645" i="63"/>
  <c r="K645" i="63"/>
  <c r="L644" i="63"/>
  <c r="K644" i="63"/>
  <c r="L643" i="63"/>
  <c r="K643" i="63"/>
  <c r="L642" i="63"/>
  <c r="K642" i="63"/>
  <c r="L641" i="63"/>
  <c r="K641" i="63"/>
  <c r="L640" i="63"/>
  <c r="K640" i="63"/>
  <c r="L639" i="63"/>
  <c r="K639" i="63"/>
  <c r="L638" i="63"/>
  <c r="K638" i="63"/>
  <c r="L637" i="63"/>
  <c r="K637" i="63"/>
  <c r="L636" i="63"/>
  <c r="K636" i="63"/>
  <c r="L635" i="63"/>
  <c r="K635" i="63"/>
  <c r="L634" i="63"/>
  <c r="L652" i="63" s="1"/>
  <c r="K634" i="63"/>
  <c r="L632" i="63"/>
  <c r="K632" i="63"/>
  <c r="K652" i="63" s="1"/>
  <c r="M597" i="63"/>
  <c r="M599" i="63" s="1"/>
  <c r="J597" i="63"/>
  <c r="J599" i="63" s="1"/>
  <c r="I597" i="63"/>
  <c r="L596" i="63"/>
  <c r="K596" i="63"/>
  <c r="L595" i="63"/>
  <c r="K595" i="63"/>
  <c r="M594" i="63"/>
  <c r="L594" i="63"/>
  <c r="L593" i="63"/>
  <c r="L597" i="63" s="1"/>
  <c r="K593" i="63"/>
  <c r="K597" i="63" s="1"/>
  <c r="J591" i="63"/>
  <c r="I591" i="63"/>
  <c r="K590" i="63"/>
  <c r="L590" i="63" s="1"/>
  <c r="L589" i="63"/>
  <c r="K589" i="63"/>
  <c r="M588" i="63"/>
  <c r="K588" i="63"/>
  <c r="L588" i="63" s="1"/>
  <c r="L587" i="63"/>
  <c r="K587" i="63"/>
  <c r="M586" i="63"/>
  <c r="L586" i="63"/>
  <c r="K586" i="63"/>
  <c r="K585" i="63"/>
  <c r="L585" i="63" s="1"/>
  <c r="M584" i="63"/>
  <c r="M591" i="63" s="1"/>
  <c r="L584" i="63"/>
  <c r="K584" i="63"/>
  <c r="M582" i="63"/>
  <c r="J582" i="63"/>
  <c r="I582" i="63"/>
  <c r="I599" i="63" s="1"/>
  <c r="L581" i="63"/>
  <c r="K581" i="63"/>
  <c r="K580" i="63"/>
  <c r="L580" i="63" s="1"/>
  <c r="L579" i="63"/>
  <c r="K579" i="63"/>
  <c r="I579" i="63"/>
  <c r="L578" i="63"/>
  <c r="K578" i="63"/>
  <c r="L577" i="63"/>
  <c r="K577" i="63"/>
  <c r="L576" i="63"/>
  <c r="K576" i="63"/>
  <c r="I576" i="63"/>
  <c r="K575" i="63"/>
  <c r="L575" i="63" s="1"/>
  <c r="L574" i="63"/>
  <c r="K574" i="63"/>
  <c r="K573" i="63"/>
  <c r="L573" i="63" s="1"/>
  <c r="K572" i="63"/>
  <c r="L572" i="63" s="1"/>
  <c r="K571" i="63"/>
  <c r="L571" i="63" s="1"/>
  <c r="L570" i="63"/>
  <c r="K570" i="63"/>
  <c r="K569" i="63"/>
  <c r="L569" i="63" s="1"/>
  <c r="L568" i="63"/>
  <c r="K568" i="63"/>
  <c r="K567" i="63"/>
  <c r="L567" i="63" s="1"/>
  <c r="K566" i="63"/>
  <c r="L566" i="63" s="1"/>
  <c r="K564" i="63"/>
  <c r="J528" i="63"/>
  <c r="I528" i="63"/>
  <c r="K527" i="63"/>
  <c r="L527" i="63" s="1"/>
  <c r="M526" i="63"/>
  <c r="M528" i="63" s="1"/>
  <c r="L526" i="63"/>
  <c r="K525" i="63"/>
  <c r="L525" i="63" s="1"/>
  <c r="K524" i="63"/>
  <c r="L524" i="63" s="1"/>
  <c r="L528" i="63" s="1"/>
  <c r="J522" i="63"/>
  <c r="J530" i="63" s="1"/>
  <c r="I522" i="63"/>
  <c r="I530" i="63" s="1"/>
  <c r="L521" i="63"/>
  <c r="K521" i="63"/>
  <c r="K520" i="63"/>
  <c r="L520" i="63" s="1"/>
  <c r="M519" i="63"/>
  <c r="M522" i="63" s="1"/>
  <c r="K519" i="63"/>
  <c r="L519" i="63" s="1"/>
  <c r="K518" i="63"/>
  <c r="L518" i="63" s="1"/>
  <c r="M517" i="63"/>
  <c r="K517" i="63"/>
  <c r="L517" i="63" s="1"/>
  <c r="L516" i="63"/>
  <c r="K516" i="63"/>
  <c r="M515" i="63"/>
  <c r="K515" i="63"/>
  <c r="K522" i="63" s="1"/>
  <c r="M513" i="63"/>
  <c r="J513" i="63"/>
  <c r="L512" i="63"/>
  <c r="K512" i="63"/>
  <c r="L511" i="63"/>
  <c r="K511" i="63"/>
  <c r="L510" i="63"/>
  <c r="K510" i="63"/>
  <c r="I510" i="63"/>
  <c r="K509" i="63"/>
  <c r="L509" i="63" s="1"/>
  <c r="L508" i="63"/>
  <c r="K508" i="63"/>
  <c r="K507" i="63"/>
  <c r="L507" i="63" s="1"/>
  <c r="I507" i="63"/>
  <c r="I513" i="63" s="1"/>
  <c r="L506" i="63"/>
  <c r="K506" i="63"/>
  <c r="K505" i="63"/>
  <c r="L505" i="63" s="1"/>
  <c r="L504" i="63"/>
  <c r="K504" i="63"/>
  <c r="K503" i="63"/>
  <c r="L503" i="63" s="1"/>
  <c r="L502" i="63"/>
  <c r="K502" i="63"/>
  <c r="K501" i="63"/>
  <c r="L501" i="63" s="1"/>
  <c r="L500" i="63"/>
  <c r="K500" i="63"/>
  <c r="K499" i="63"/>
  <c r="L499" i="63" s="1"/>
  <c r="L498" i="63"/>
  <c r="K498" i="63"/>
  <c r="K497" i="63"/>
  <c r="K513" i="63" s="1"/>
  <c r="L495" i="63"/>
  <c r="K495" i="63"/>
  <c r="M463" i="63"/>
  <c r="M465" i="63" s="1"/>
  <c r="L463" i="63"/>
  <c r="J463" i="63"/>
  <c r="I463" i="63"/>
  <c r="I465" i="63" s="1"/>
  <c r="L462" i="63"/>
  <c r="K462" i="63"/>
  <c r="L460" i="63"/>
  <c r="K460" i="63"/>
  <c r="L459" i="63"/>
  <c r="K459" i="63"/>
  <c r="K463" i="63" s="1"/>
  <c r="M457" i="63"/>
  <c r="J457" i="63"/>
  <c r="K456" i="63"/>
  <c r="L456" i="63" s="1"/>
  <c r="K455" i="63"/>
  <c r="L455" i="63" s="1"/>
  <c r="L454" i="63"/>
  <c r="K454" i="63"/>
  <c r="M453" i="63"/>
  <c r="L453" i="63"/>
  <c r="K453" i="63"/>
  <c r="L452" i="63"/>
  <c r="K452" i="63"/>
  <c r="L451" i="63"/>
  <c r="K451" i="63"/>
  <c r="L450" i="63"/>
  <c r="K450" i="63"/>
  <c r="L449" i="63"/>
  <c r="K449" i="63"/>
  <c r="M448" i="63"/>
  <c r="K448" i="63"/>
  <c r="L448" i="63" s="1"/>
  <c r="L457" i="63" s="1"/>
  <c r="I448" i="63"/>
  <c r="I457" i="63" s="1"/>
  <c r="M446" i="63"/>
  <c r="J446" i="63"/>
  <c r="K445" i="63"/>
  <c r="L445" i="63" s="1"/>
  <c r="K444" i="63"/>
  <c r="L444" i="63" s="1"/>
  <c r="K443" i="63"/>
  <c r="L443" i="63" s="1"/>
  <c r="I443" i="63"/>
  <c r="L442" i="63"/>
  <c r="K442" i="63"/>
  <c r="L441" i="63"/>
  <c r="K441" i="63"/>
  <c r="L440" i="63"/>
  <c r="K440" i="63"/>
  <c r="I440" i="63"/>
  <c r="I446" i="63" s="1"/>
  <c r="L439" i="63"/>
  <c r="K439" i="63"/>
  <c r="K438" i="63"/>
  <c r="L438" i="63" s="1"/>
  <c r="L437" i="63"/>
  <c r="K437" i="63"/>
  <c r="K436" i="63"/>
  <c r="L436" i="63" s="1"/>
  <c r="K435" i="63"/>
  <c r="L435" i="63" s="1"/>
  <c r="K434" i="63"/>
  <c r="L434" i="63" s="1"/>
  <c r="K433" i="63"/>
  <c r="L433" i="63" s="1"/>
  <c r="K432" i="63"/>
  <c r="L432" i="63" s="1"/>
  <c r="L431" i="63"/>
  <c r="K431" i="63"/>
  <c r="K430" i="63"/>
  <c r="L430" i="63" s="1"/>
  <c r="L429" i="63"/>
  <c r="K429" i="63"/>
  <c r="K427" i="63"/>
  <c r="L427" i="63" s="1"/>
  <c r="M391" i="63"/>
  <c r="M393" i="63" s="1"/>
  <c r="J391" i="63"/>
  <c r="J393" i="63" s="1"/>
  <c r="I391" i="63"/>
  <c r="K390" i="63"/>
  <c r="L390" i="63" s="1"/>
  <c r="L389" i="63"/>
  <c r="K389" i="63"/>
  <c r="K388" i="63"/>
  <c r="L388" i="63" s="1"/>
  <c r="K387" i="63"/>
  <c r="L387" i="63" s="1"/>
  <c r="L391" i="63" s="1"/>
  <c r="J385" i="63"/>
  <c r="I385" i="63"/>
  <c r="L384" i="63"/>
  <c r="K384" i="63"/>
  <c r="L383" i="63"/>
  <c r="K383" i="63"/>
  <c r="M382" i="63"/>
  <c r="K382" i="63"/>
  <c r="L382" i="63" s="1"/>
  <c r="K381" i="63"/>
  <c r="L381" i="63" s="1"/>
  <c r="L380" i="63"/>
  <c r="K380" i="63"/>
  <c r="M379" i="63"/>
  <c r="M385" i="63" s="1"/>
  <c r="L379" i="63"/>
  <c r="L385" i="63" s="1"/>
  <c r="K379" i="63"/>
  <c r="K385" i="63" s="1"/>
  <c r="M377" i="63"/>
  <c r="J377" i="63"/>
  <c r="K376" i="63"/>
  <c r="L376" i="63" s="1"/>
  <c r="K375" i="63"/>
  <c r="L375" i="63" s="1"/>
  <c r="K374" i="63"/>
  <c r="L374" i="63" s="1"/>
  <c r="I374" i="63"/>
  <c r="L373" i="63"/>
  <c r="K373" i="63"/>
  <c r="L372" i="63"/>
  <c r="K372" i="63"/>
  <c r="L371" i="63"/>
  <c r="K371" i="63"/>
  <c r="I371" i="63"/>
  <c r="I377" i="63" s="1"/>
  <c r="K370" i="63"/>
  <c r="L370" i="63" s="1"/>
  <c r="K369" i="63"/>
  <c r="L369" i="63" s="1"/>
  <c r="L368" i="63"/>
  <c r="K368" i="63"/>
  <c r="K367" i="63"/>
  <c r="L367" i="63" s="1"/>
  <c r="L366" i="63"/>
  <c r="K366" i="63"/>
  <c r="K365" i="63"/>
  <c r="L365" i="63" s="1"/>
  <c r="K364" i="63"/>
  <c r="L364" i="63" s="1"/>
  <c r="K363" i="63"/>
  <c r="L363" i="63" s="1"/>
  <c r="K362" i="63"/>
  <c r="L362" i="63" s="1"/>
  <c r="K361" i="63"/>
  <c r="L361" i="63" s="1"/>
  <c r="L359" i="63"/>
  <c r="K359" i="63"/>
  <c r="J324" i="63"/>
  <c r="K322" i="63"/>
  <c r="J322" i="63"/>
  <c r="I322" i="63"/>
  <c r="M321" i="63"/>
  <c r="M322" i="63" s="1"/>
  <c r="M324" i="63" s="1"/>
  <c r="L321" i="63"/>
  <c r="K320" i="63"/>
  <c r="L320" i="63" s="1"/>
  <c r="K319" i="63"/>
  <c r="L319" i="63" s="1"/>
  <c r="L322" i="63" s="1"/>
  <c r="J317" i="63"/>
  <c r="I317" i="63"/>
  <c r="L316" i="63"/>
  <c r="K316" i="63"/>
  <c r="L315" i="63"/>
  <c r="K315" i="63"/>
  <c r="M314" i="63"/>
  <c r="L314" i="63"/>
  <c r="K314" i="63"/>
  <c r="M313" i="63"/>
  <c r="L313" i="63"/>
  <c r="L317" i="63" s="1"/>
  <c r="K313" i="63"/>
  <c r="K317" i="63" s="1"/>
  <c r="L312" i="63"/>
  <c r="K312" i="63"/>
  <c r="M311" i="63"/>
  <c r="M317" i="63" s="1"/>
  <c r="L311" i="63"/>
  <c r="K311" i="63"/>
  <c r="M309" i="63"/>
  <c r="J309" i="63"/>
  <c r="K308" i="63"/>
  <c r="L308" i="63" s="1"/>
  <c r="L307" i="63"/>
  <c r="K307" i="63"/>
  <c r="K306" i="63"/>
  <c r="L306" i="63" s="1"/>
  <c r="I306" i="63"/>
  <c r="K305" i="63"/>
  <c r="L305" i="63" s="1"/>
  <c r="K304" i="63"/>
  <c r="L304" i="63" s="1"/>
  <c r="K303" i="63"/>
  <c r="L303" i="63" s="1"/>
  <c r="I303" i="63"/>
  <c r="L302" i="63"/>
  <c r="K302" i="63"/>
  <c r="L301" i="63"/>
  <c r="K301" i="63"/>
  <c r="L300" i="63"/>
  <c r="K300" i="63"/>
  <c r="L299" i="63"/>
  <c r="K299" i="63"/>
  <c r="I299" i="63"/>
  <c r="I309" i="63" s="1"/>
  <c r="K298" i="63"/>
  <c r="L298" i="63" s="1"/>
  <c r="L297" i="63"/>
  <c r="K297" i="63"/>
  <c r="K296" i="63"/>
  <c r="L296" i="63" s="1"/>
  <c r="L295" i="63"/>
  <c r="K295" i="63"/>
  <c r="K294" i="63"/>
  <c r="L294" i="63" s="1"/>
  <c r="K293" i="63"/>
  <c r="L293" i="63" s="1"/>
  <c r="K292" i="63"/>
  <c r="L292" i="63" s="1"/>
  <c r="K290" i="63"/>
  <c r="L290" i="63" s="1"/>
  <c r="M252" i="63"/>
  <c r="J252" i="63"/>
  <c r="I252" i="63"/>
  <c r="L251" i="63"/>
  <c r="L252" i="63" s="1"/>
  <c r="K251" i="63"/>
  <c r="K252" i="63" s="1"/>
  <c r="K249" i="63"/>
  <c r="L249" i="63" s="1"/>
  <c r="J247" i="63"/>
  <c r="J254" i="63" s="1"/>
  <c r="I247" i="63"/>
  <c r="L246" i="63"/>
  <c r="K246" i="63"/>
  <c r="L245" i="63"/>
  <c r="K245" i="63"/>
  <c r="M244" i="63"/>
  <c r="K244" i="63"/>
  <c r="L244" i="63" s="1"/>
  <c r="L243" i="63"/>
  <c r="K243" i="63"/>
  <c r="M242" i="63"/>
  <c r="L242" i="63"/>
  <c r="L247" i="63" s="1"/>
  <c r="K242" i="63"/>
  <c r="L241" i="63"/>
  <c r="K241" i="63"/>
  <c r="M240" i="63"/>
  <c r="M247" i="63" s="1"/>
  <c r="L240" i="63"/>
  <c r="K240" i="63"/>
  <c r="M238" i="63"/>
  <c r="J238" i="63"/>
  <c r="L237" i="63"/>
  <c r="L236" i="63"/>
  <c r="K236" i="63"/>
  <c r="K235" i="63"/>
  <c r="L235" i="63" s="1"/>
  <c r="I235" i="63"/>
  <c r="L234" i="63"/>
  <c r="K234" i="63"/>
  <c r="K233" i="63"/>
  <c r="L233" i="63" s="1"/>
  <c r="L232" i="63"/>
  <c r="K232" i="63"/>
  <c r="I232" i="63"/>
  <c r="K231" i="63"/>
  <c r="L231" i="63" s="1"/>
  <c r="K230" i="63"/>
  <c r="L230" i="63" s="1"/>
  <c r="K229" i="63"/>
  <c r="L229" i="63" s="1"/>
  <c r="K228" i="63"/>
  <c r="L228" i="63" s="1"/>
  <c r="L227" i="63"/>
  <c r="K227" i="63"/>
  <c r="K226" i="63"/>
  <c r="L226" i="63" s="1"/>
  <c r="L225" i="63"/>
  <c r="K225" i="63"/>
  <c r="K224" i="63"/>
  <c r="L224" i="63" s="1"/>
  <c r="K223" i="63"/>
  <c r="L223" i="63" s="1"/>
  <c r="K222" i="63"/>
  <c r="L222" i="63" s="1"/>
  <c r="K220" i="63"/>
  <c r="L220" i="63" s="1"/>
  <c r="L238" i="63" s="1"/>
  <c r="J184" i="63"/>
  <c r="I184" i="63"/>
  <c r="M183" i="63"/>
  <c r="M184" i="63" s="1"/>
  <c r="M186" i="63" s="1"/>
  <c r="L183" i="63"/>
  <c r="K182" i="63"/>
  <c r="L182" i="63" s="1"/>
  <c r="K181" i="63"/>
  <c r="L181" i="63" s="1"/>
  <c r="L184" i="63" s="1"/>
  <c r="J179" i="63"/>
  <c r="J186" i="63" s="1"/>
  <c r="K178" i="63"/>
  <c r="L178" i="63" s="1"/>
  <c r="L177" i="63"/>
  <c r="K177" i="63"/>
  <c r="M176" i="63"/>
  <c r="K176" i="63"/>
  <c r="L176" i="63" s="1"/>
  <c r="M175" i="63"/>
  <c r="K175" i="63"/>
  <c r="L175" i="63" s="1"/>
  <c r="I175" i="63"/>
  <c r="I179" i="63" s="1"/>
  <c r="L174" i="63"/>
  <c r="K174" i="63"/>
  <c r="M173" i="63"/>
  <c r="M179" i="63" s="1"/>
  <c r="L173" i="63"/>
  <c r="K173" i="63"/>
  <c r="M171" i="63"/>
  <c r="J171" i="63"/>
  <c r="L170" i="63"/>
  <c r="L169" i="63"/>
  <c r="K169" i="63"/>
  <c r="K168" i="63"/>
  <c r="L168" i="63" s="1"/>
  <c r="I168" i="63"/>
  <c r="L167" i="63"/>
  <c r="K167" i="63"/>
  <c r="K166" i="63"/>
  <c r="K171" i="63" s="1"/>
  <c r="L165" i="63"/>
  <c r="K165" i="63"/>
  <c r="I165" i="63"/>
  <c r="I171" i="63" s="1"/>
  <c r="L164" i="63"/>
  <c r="K164" i="63"/>
  <c r="K163" i="63"/>
  <c r="L163" i="63" s="1"/>
  <c r="L162" i="63"/>
  <c r="K162" i="63"/>
  <c r="K161" i="63"/>
  <c r="L161" i="63" s="1"/>
  <c r="L160" i="63"/>
  <c r="K160" i="63"/>
  <c r="K159" i="63"/>
  <c r="L159" i="63" s="1"/>
  <c r="L158" i="63"/>
  <c r="K158" i="63"/>
  <c r="K157" i="63"/>
  <c r="L157" i="63" s="1"/>
  <c r="L156" i="63"/>
  <c r="K156" i="63"/>
  <c r="K155" i="63"/>
  <c r="L155" i="63" s="1"/>
  <c r="L153" i="63"/>
  <c r="K153" i="63"/>
  <c r="M126" i="63"/>
  <c r="M128" i="63" s="1"/>
  <c r="J126" i="63"/>
  <c r="L125" i="63"/>
  <c r="K125" i="63"/>
  <c r="K124" i="63"/>
  <c r="L124" i="63" s="1"/>
  <c r="I124" i="63"/>
  <c r="L123" i="63"/>
  <c r="K123" i="63"/>
  <c r="I123" i="63"/>
  <c r="I126" i="63" s="1"/>
  <c r="I128" i="63" s="1"/>
  <c r="L122" i="63"/>
  <c r="K122" i="63"/>
  <c r="K121" i="63"/>
  <c r="L121" i="63" s="1"/>
  <c r="J119" i="63"/>
  <c r="I119" i="63"/>
  <c r="L118" i="63"/>
  <c r="K118" i="63"/>
  <c r="K117" i="63"/>
  <c r="L117" i="63" s="1"/>
  <c r="M116" i="63"/>
  <c r="K116" i="63"/>
  <c r="L116" i="63" s="1"/>
  <c r="L115" i="63"/>
  <c r="K115" i="63"/>
  <c r="K114" i="63"/>
  <c r="L114" i="63" s="1"/>
  <c r="M113" i="63"/>
  <c r="L113" i="63"/>
  <c r="K113" i="63"/>
  <c r="I113" i="63"/>
  <c r="M112" i="63"/>
  <c r="M119" i="63" s="1"/>
  <c r="L112" i="63"/>
  <c r="K112" i="63"/>
  <c r="M111" i="63"/>
  <c r="L111" i="63"/>
  <c r="K111" i="63"/>
  <c r="K110" i="63"/>
  <c r="L110" i="63" s="1"/>
  <c r="L109" i="63"/>
  <c r="K109" i="63"/>
  <c r="I109" i="63"/>
  <c r="M108" i="63"/>
  <c r="L108" i="63"/>
  <c r="K108" i="63"/>
  <c r="I108" i="63"/>
  <c r="M107" i="63"/>
  <c r="L107" i="63"/>
  <c r="K107" i="63"/>
  <c r="M106" i="63"/>
  <c r="K106" i="63"/>
  <c r="K119" i="63" s="1"/>
  <c r="M104" i="63"/>
  <c r="K103" i="63"/>
  <c r="L103" i="63" s="1"/>
  <c r="L102" i="63"/>
  <c r="K102" i="63"/>
  <c r="J102" i="63"/>
  <c r="K101" i="63"/>
  <c r="L101" i="63" s="1"/>
  <c r="I101" i="63"/>
  <c r="K100" i="63"/>
  <c r="L100" i="63" s="1"/>
  <c r="I100" i="63"/>
  <c r="L99" i="63"/>
  <c r="K99" i="63"/>
  <c r="K98" i="63"/>
  <c r="L98" i="63" s="1"/>
  <c r="L97" i="63"/>
  <c r="K97" i="63"/>
  <c r="I97" i="63"/>
  <c r="I104" i="63" s="1"/>
  <c r="L96" i="63"/>
  <c r="K96" i="63"/>
  <c r="J95" i="63"/>
  <c r="K95" i="63" s="1"/>
  <c r="L95" i="63" s="1"/>
  <c r="L94" i="63"/>
  <c r="K94" i="63"/>
  <c r="K93" i="63"/>
  <c r="L93" i="63" s="1"/>
  <c r="L92" i="63"/>
  <c r="K92" i="63"/>
  <c r="K91" i="63"/>
  <c r="L91" i="63" s="1"/>
  <c r="L90" i="63"/>
  <c r="K90" i="63"/>
  <c r="K89" i="63"/>
  <c r="L89" i="63" s="1"/>
  <c r="L88" i="63"/>
  <c r="K88" i="63"/>
  <c r="K87" i="63"/>
  <c r="K104" i="63" s="1"/>
  <c r="L85" i="63"/>
  <c r="K85" i="63"/>
  <c r="J54" i="63"/>
  <c r="J56" i="63" s="1"/>
  <c r="I54" i="63"/>
  <c r="M53" i="63"/>
  <c r="K53" i="63"/>
  <c r="L53" i="63" s="1"/>
  <c r="M52" i="63"/>
  <c r="M54" i="63" s="1"/>
  <c r="M56" i="63" s="1"/>
  <c r="L52" i="63"/>
  <c r="M51" i="63"/>
  <c r="K51" i="63"/>
  <c r="L51" i="63" s="1"/>
  <c r="L50" i="63"/>
  <c r="K50" i="63"/>
  <c r="K49" i="63"/>
  <c r="L49" i="63" s="1"/>
  <c r="L48" i="63"/>
  <c r="K48" i="63"/>
  <c r="K47" i="63"/>
  <c r="L47" i="63" s="1"/>
  <c r="L46" i="63"/>
  <c r="K46" i="63"/>
  <c r="K54" i="63" s="1"/>
  <c r="J44" i="63"/>
  <c r="L43" i="63"/>
  <c r="K43" i="63"/>
  <c r="I43" i="63"/>
  <c r="K42" i="63"/>
  <c r="L42" i="63" s="1"/>
  <c r="I42" i="63"/>
  <c r="K41" i="63"/>
  <c r="L41" i="63" s="1"/>
  <c r="I41" i="63"/>
  <c r="M40" i="63"/>
  <c r="K40" i="63"/>
  <c r="L40" i="63" s="1"/>
  <c r="L39" i="63"/>
  <c r="K39" i="63"/>
  <c r="K38" i="63"/>
  <c r="L38" i="63" s="1"/>
  <c r="L44" i="63" s="1"/>
  <c r="I38" i="63"/>
  <c r="L37" i="63"/>
  <c r="K37" i="63"/>
  <c r="I37" i="63"/>
  <c r="M36" i="63"/>
  <c r="M44" i="63" s="1"/>
  <c r="L36" i="63"/>
  <c r="K36" i="63"/>
  <c r="I36" i="63"/>
  <c r="I44" i="63" s="1"/>
  <c r="M34" i="63"/>
  <c r="J34" i="63"/>
  <c r="L33" i="63"/>
  <c r="K32" i="63"/>
  <c r="L32" i="63" s="1"/>
  <c r="L31" i="63"/>
  <c r="K31" i="63"/>
  <c r="I31" i="63"/>
  <c r="K30" i="63"/>
  <c r="L30" i="63" s="1"/>
  <c r="I30" i="63"/>
  <c r="K29" i="63"/>
  <c r="L29" i="63" s="1"/>
  <c r="L28" i="63"/>
  <c r="K28" i="63"/>
  <c r="K27" i="63"/>
  <c r="L27" i="63" s="1"/>
  <c r="I27" i="63"/>
  <c r="I34" i="63" s="1"/>
  <c r="L26" i="63"/>
  <c r="K26" i="63"/>
  <c r="K25" i="63"/>
  <c r="L25" i="63" s="1"/>
  <c r="L24" i="63"/>
  <c r="K24" i="63"/>
  <c r="K23" i="63"/>
  <c r="L23" i="63" s="1"/>
  <c r="L22" i="63"/>
  <c r="K22" i="63"/>
  <c r="K21" i="63"/>
  <c r="L21" i="63" s="1"/>
  <c r="L20" i="63"/>
  <c r="K20" i="63"/>
  <c r="K19" i="63"/>
  <c r="L19" i="63" s="1"/>
  <c r="L18" i="63"/>
  <c r="K18" i="63"/>
  <c r="K17" i="63"/>
  <c r="L17" i="63" s="1"/>
  <c r="L16" i="63"/>
  <c r="K16" i="63"/>
  <c r="K14" i="63"/>
  <c r="K34" i="63" s="1"/>
  <c r="I56" i="63" l="1"/>
  <c r="L171" i="63"/>
  <c r="I393" i="63"/>
  <c r="L465" i="63"/>
  <c r="J867" i="63"/>
  <c r="L179" i="63"/>
  <c r="L324" i="63"/>
  <c r="L54" i="63"/>
  <c r="L126" i="63"/>
  <c r="L186" i="63"/>
  <c r="L254" i="63"/>
  <c r="L309" i="63"/>
  <c r="L513" i="63"/>
  <c r="L14" i="63"/>
  <c r="L34" i="63" s="1"/>
  <c r="L87" i="63"/>
  <c r="L104" i="63" s="1"/>
  <c r="L166" i="63"/>
  <c r="K44" i="63"/>
  <c r="K56" i="63" s="1"/>
  <c r="K126" i="63"/>
  <c r="K128" i="63" s="1"/>
  <c r="K184" i="63"/>
  <c r="K238" i="63"/>
  <c r="K309" i="63"/>
  <c r="K324" i="63" s="1"/>
  <c r="L377" i="63"/>
  <c r="L393" i="63" s="1"/>
  <c r="J465" i="63"/>
  <c r="M530" i="63"/>
  <c r="K528" i="63"/>
  <c r="K530" i="63" s="1"/>
  <c r="L564" i="63"/>
  <c r="L582" i="63" s="1"/>
  <c r="L599" i="63" s="1"/>
  <c r="K582" i="63"/>
  <c r="L591" i="63"/>
  <c r="L668" i="63"/>
  <c r="K668" i="63"/>
  <c r="K391" i="63"/>
  <c r="K393" i="63" s="1"/>
  <c r="L655" i="63"/>
  <c r="L662" i="63" s="1"/>
  <c r="K662" i="63"/>
  <c r="M670" i="63"/>
  <c r="L800" i="63"/>
  <c r="I807" i="63"/>
  <c r="J104" i="63"/>
  <c r="J128" i="63" s="1"/>
  <c r="K179" i="63"/>
  <c r="K377" i="63"/>
  <c r="K457" i="63"/>
  <c r="K465" i="63" s="1"/>
  <c r="L515" i="63"/>
  <c r="L522" i="63" s="1"/>
  <c r="L530" i="63" s="1"/>
  <c r="J854" i="63"/>
  <c r="L106" i="63"/>
  <c r="L119" i="63" s="1"/>
  <c r="I186" i="63"/>
  <c r="M254" i="63"/>
  <c r="L497" i="63"/>
  <c r="I238" i="63"/>
  <c r="I254" i="63" s="1"/>
  <c r="I1030" i="63" s="1"/>
  <c r="K247" i="63"/>
  <c r="K254" i="63" s="1"/>
  <c r="I324" i="63"/>
  <c r="L446" i="63"/>
  <c r="K446" i="63"/>
  <c r="K591" i="63"/>
  <c r="K599" i="63" s="1"/>
  <c r="K719" i="63"/>
  <c r="L701" i="63"/>
  <c r="L719" i="63" s="1"/>
  <c r="M737" i="63"/>
  <c r="J790" i="63"/>
  <c r="J807" i="63" s="1"/>
  <c r="K781" i="63"/>
  <c r="L781" i="63" s="1"/>
  <c r="L790" i="63" s="1"/>
  <c r="L807" i="63" s="1"/>
  <c r="L837" i="63"/>
  <c r="L854" i="63" s="1"/>
  <c r="L867" i="63" s="1"/>
  <c r="K867" i="63"/>
  <c r="J933" i="63"/>
  <c r="K729" i="63"/>
  <c r="K737" i="63" s="1"/>
  <c r="L721" i="63"/>
  <c r="L729" i="63" s="1"/>
  <c r="L735" i="63"/>
  <c r="J737" i="63"/>
  <c r="K800" i="63"/>
  <c r="M807" i="63"/>
  <c r="M933" i="63"/>
  <c r="M1030" i="63" s="1"/>
  <c r="L1004" i="63"/>
  <c r="L1014" i="63" s="1"/>
  <c r="K1014" i="63"/>
  <c r="L931" i="63"/>
  <c r="K1004" i="63"/>
  <c r="K916" i="63"/>
  <c r="L916" i="63" s="1"/>
  <c r="K931" i="63"/>
  <c r="L903" i="63"/>
  <c r="L920" i="63"/>
  <c r="L926" i="63" s="1"/>
  <c r="L971" i="63"/>
  <c r="L992" i="63" s="1"/>
  <c r="J1030" i="63" l="1"/>
  <c r="L128" i="63"/>
  <c r="L933" i="63"/>
  <c r="L1030" i="63" s="1"/>
  <c r="L737" i="63"/>
  <c r="K790" i="63"/>
  <c r="K807" i="63" s="1"/>
  <c r="L56" i="63"/>
  <c r="K186" i="63"/>
  <c r="K670" i="63"/>
  <c r="L918" i="63"/>
  <c r="K918" i="63"/>
  <c r="K933" i="63" s="1"/>
  <c r="K1030" i="63" s="1"/>
  <c r="L670" i="63"/>
  <c r="O415" i="45" l="1"/>
  <c r="O761" i="45" l="1"/>
  <c r="C56" i="44" l="1"/>
  <c r="L54" i="44"/>
  <c r="L57" i="44"/>
  <c r="E28" i="44"/>
  <c r="F28" i="44"/>
  <c r="H28" i="44"/>
  <c r="I28" i="44"/>
  <c r="K28" i="44"/>
  <c r="C58" i="44"/>
  <c r="C55" i="44"/>
  <c r="C54" i="44"/>
  <c r="C53" i="44"/>
  <c r="C52" i="44"/>
  <c r="C51" i="44"/>
  <c r="C50" i="44"/>
  <c r="C27" i="44"/>
  <c r="C25" i="44"/>
  <c r="C17" i="44"/>
  <c r="R52" i="44"/>
  <c r="L89" i="44"/>
  <c r="L90" i="44"/>
  <c r="L91" i="44"/>
  <c r="L92" i="44"/>
  <c r="L93" i="44"/>
  <c r="M125" i="44" l="1"/>
  <c r="E125" i="44"/>
  <c r="F125" i="44"/>
  <c r="G125" i="44"/>
  <c r="H125" i="44"/>
  <c r="I125" i="44"/>
  <c r="J125" i="44"/>
  <c r="D125" i="44"/>
  <c r="D12" i="44" l="1"/>
  <c r="I228" i="13" l="1"/>
  <c r="N119" i="1" l="1"/>
  <c r="N112" i="1"/>
  <c r="N120" i="1" l="1"/>
  <c r="N111" i="1"/>
  <c r="M271" i="58" l="1"/>
  <c r="L271" i="58"/>
  <c r="Q245" i="58"/>
  <c r="R245" i="58" s="1"/>
  <c r="N245" i="58"/>
  <c r="M245" i="58"/>
  <c r="M1092" i="58"/>
  <c r="M671" i="58"/>
  <c r="O245" i="58" l="1"/>
  <c r="K40" i="16" l="1"/>
  <c r="K24" i="16"/>
  <c r="N341" i="1" l="1"/>
  <c r="M341" i="1"/>
  <c r="L341" i="1"/>
  <c r="K341" i="1"/>
  <c r="J341" i="1"/>
  <c r="M338" i="1"/>
  <c r="M339" i="1"/>
  <c r="M340" i="1"/>
  <c r="N327" i="1"/>
  <c r="N323" i="1"/>
  <c r="K106" i="1" l="1"/>
  <c r="L106" i="1" s="1"/>
  <c r="L94" i="1"/>
  <c r="K94" i="1"/>
  <c r="L1194" i="58" l="1"/>
  <c r="J1166" i="58"/>
  <c r="N1166" i="58" s="1"/>
  <c r="R1162" i="58"/>
  <c r="Q1162" i="58"/>
  <c r="J1162" i="58"/>
  <c r="J1194" i="58" s="1"/>
  <c r="R1088" i="58"/>
  <c r="Q1088" i="58"/>
  <c r="Q1087" i="58"/>
  <c r="R1087" i="58" s="1"/>
  <c r="M1087" i="58"/>
  <c r="J1087" i="58"/>
  <c r="N1087" i="58" s="1"/>
  <c r="Q1084" i="58"/>
  <c r="R1084" i="58" s="1"/>
  <c r="R1082" i="58"/>
  <c r="Q1082" i="58"/>
  <c r="J1082" i="58"/>
  <c r="J1113" i="58" s="1"/>
  <c r="R1059" i="58"/>
  <c r="Q1059" i="58"/>
  <c r="J1059" i="58"/>
  <c r="N1059" i="58" s="1"/>
  <c r="R1057" i="58"/>
  <c r="Q1057" i="58"/>
  <c r="N1057" i="58"/>
  <c r="O1057" i="58" s="1"/>
  <c r="M1057" i="58"/>
  <c r="J1057" i="58"/>
  <c r="Q1055" i="58"/>
  <c r="R1055" i="58" s="1"/>
  <c r="M1055" i="58"/>
  <c r="J1055" i="58"/>
  <c r="N1055" i="58" s="1"/>
  <c r="Q1053" i="58"/>
  <c r="R1053" i="58" s="1"/>
  <c r="J1053" i="58"/>
  <c r="N1053" i="58" s="1"/>
  <c r="R1051" i="58"/>
  <c r="Q1051" i="58"/>
  <c r="J1051" i="58"/>
  <c r="N1051" i="58" s="1"/>
  <c r="R1049" i="58"/>
  <c r="Q1049" i="58"/>
  <c r="Q1047" i="58"/>
  <c r="R1047" i="58" s="1"/>
  <c r="M1047" i="58"/>
  <c r="J1047" i="58"/>
  <c r="N1047" i="58" s="1"/>
  <c r="Q1045" i="58"/>
  <c r="R1045" i="58" s="1"/>
  <c r="J1045" i="58"/>
  <c r="N1045" i="58" s="1"/>
  <c r="R1044" i="58"/>
  <c r="Q1044" i="58"/>
  <c r="Q1041" i="58"/>
  <c r="R1041" i="58" s="1"/>
  <c r="J1041" i="58"/>
  <c r="N1041" i="58" s="1"/>
  <c r="R1039" i="58"/>
  <c r="Q1039" i="58"/>
  <c r="J1039" i="58"/>
  <c r="N1039" i="58" s="1"/>
  <c r="R1037" i="58"/>
  <c r="Q1037" i="58"/>
  <c r="N1037" i="58"/>
  <c r="O1037" i="58" s="1"/>
  <c r="M1037" i="58"/>
  <c r="J1037" i="58"/>
  <c r="Q1033" i="58"/>
  <c r="R1033" i="58" s="1"/>
  <c r="M1033" i="58"/>
  <c r="J1033" i="58"/>
  <c r="N1033" i="58" s="1"/>
  <c r="Q1032" i="58"/>
  <c r="R1032" i="58" s="1"/>
  <c r="R1031" i="58"/>
  <c r="Q1031" i="58"/>
  <c r="J1031" i="58"/>
  <c r="N1031" i="58" s="1"/>
  <c r="R1027" i="58"/>
  <c r="Q1027" i="58"/>
  <c r="M1027" i="58"/>
  <c r="J1027" i="58"/>
  <c r="N1027" i="58" s="1"/>
  <c r="O1027" i="58" s="1"/>
  <c r="Q1025" i="58"/>
  <c r="R1025" i="58" s="1"/>
  <c r="M1025" i="58"/>
  <c r="J1025" i="58"/>
  <c r="N1025" i="58" s="1"/>
  <c r="Q1023" i="58"/>
  <c r="R1023" i="58" s="1"/>
  <c r="J1023" i="58"/>
  <c r="N1023" i="58" s="1"/>
  <c r="Q1021" i="58"/>
  <c r="R1021" i="58" s="1"/>
  <c r="Q1019" i="58"/>
  <c r="R1019" i="58" s="1"/>
  <c r="N1019" i="58"/>
  <c r="O1019" i="58" s="1"/>
  <c r="J1019" i="58"/>
  <c r="M1019" i="58" s="1"/>
  <c r="Q1017" i="58"/>
  <c r="R1017" i="58" s="1"/>
  <c r="J1017" i="58"/>
  <c r="N1017" i="58" s="1"/>
  <c r="Q1015" i="58"/>
  <c r="R1015" i="58" s="1"/>
  <c r="M1015" i="58"/>
  <c r="J1015" i="58"/>
  <c r="N1015" i="58" s="1"/>
  <c r="O1015" i="58" s="1"/>
  <c r="Q1013" i="58"/>
  <c r="R1013" i="58" s="1"/>
  <c r="M1013" i="58"/>
  <c r="J1013" i="58"/>
  <c r="N1013" i="58" s="1"/>
  <c r="O1013" i="58" s="1"/>
  <c r="Q1011" i="58"/>
  <c r="R1011" i="58" s="1"/>
  <c r="N1011" i="58"/>
  <c r="J1011" i="58"/>
  <c r="M1011" i="58" s="1"/>
  <c r="Q1009" i="58"/>
  <c r="R1009" i="58" s="1"/>
  <c r="Q1007" i="58"/>
  <c r="R1007" i="58" s="1"/>
  <c r="N1007" i="58"/>
  <c r="J1007" i="58"/>
  <c r="J1061" i="58" s="1"/>
  <c r="L974" i="58"/>
  <c r="Q953" i="58"/>
  <c r="R953" i="58" s="1"/>
  <c r="J953" i="58"/>
  <c r="Q950" i="58"/>
  <c r="R950" i="58" s="1"/>
  <c r="N950" i="58"/>
  <c r="J950" i="58"/>
  <c r="M950" i="58" s="1"/>
  <c r="Q947" i="58"/>
  <c r="R947" i="58" s="1"/>
  <c r="J947" i="58"/>
  <c r="Q944" i="58"/>
  <c r="R944" i="58" s="1"/>
  <c r="N944" i="58"/>
  <c r="O944" i="58" s="1"/>
  <c r="J944" i="58"/>
  <c r="M944" i="58" s="1"/>
  <c r="Q941" i="58"/>
  <c r="R941" i="58" s="1"/>
  <c r="J941" i="58"/>
  <c r="Q938" i="58"/>
  <c r="R938" i="58" s="1"/>
  <c r="J938" i="58"/>
  <c r="M938" i="58" s="1"/>
  <c r="Q906" i="58"/>
  <c r="R906" i="58" s="1"/>
  <c r="N906" i="58"/>
  <c r="O906" i="58" s="1"/>
  <c r="J906" i="58"/>
  <c r="M906" i="58" s="1"/>
  <c r="Q903" i="58"/>
  <c r="R903" i="58" s="1"/>
  <c r="J903" i="58"/>
  <c r="Q900" i="58"/>
  <c r="R900" i="58" s="1"/>
  <c r="J900" i="58"/>
  <c r="M900" i="58" s="1"/>
  <c r="Q897" i="58"/>
  <c r="R897" i="58" s="1"/>
  <c r="J897" i="58"/>
  <c r="Q895" i="58"/>
  <c r="R895" i="58" s="1"/>
  <c r="Q893" i="58"/>
  <c r="R893" i="58" s="1"/>
  <c r="J893" i="58"/>
  <c r="Q890" i="58"/>
  <c r="R890" i="58" s="1"/>
  <c r="J890" i="58"/>
  <c r="M890" i="58" s="1"/>
  <c r="Q887" i="58"/>
  <c r="R887" i="58" s="1"/>
  <c r="J887" i="58"/>
  <c r="Q884" i="58"/>
  <c r="R884" i="58" s="1"/>
  <c r="J884" i="58"/>
  <c r="M884" i="58" s="1"/>
  <c r="Q881" i="58"/>
  <c r="R881" i="58" s="1"/>
  <c r="N881" i="58"/>
  <c r="M881" i="58"/>
  <c r="Q878" i="58"/>
  <c r="R878" i="58" s="1"/>
  <c r="J878" i="58"/>
  <c r="N878" i="58" s="1"/>
  <c r="Q875" i="58"/>
  <c r="R875" i="58" s="1"/>
  <c r="J875" i="58"/>
  <c r="N875" i="58" s="1"/>
  <c r="Q873" i="58"/>
  <c r="R873" i="58" s="1"/>
  <c r="Q871" i="58"/>
  <c r="R871" i="58" s="1"/>
  <c r="J871" i="58"/>
  <c r="N871" i="58" s="1"/>
  <c r="Q868" i="58"/>
  <c r="R868" i="58" s="1"/>
  <c r="J868" i="58"/>
  <c r="N868" i="58" s="1"/>
  <c r="J832" i="58"/>
  <c r="M832" i="58" s="1"/>
  <c r="Q829" i="58"/>
  <c r="R829" i="58" s="1"/>
  <c r="J829" i="58"/>
  <c r="N829" i="58" s="1"/>
  <c r="Q826" i="58"/>
  <c r="R826" i="58" s="1"/>
  <c r="M826" i="58"/>
  <c r="J826" i="58"/>
  <c r="N826" i="58" s="1"/>
  <c r="Q823" i="58"/>
  <c r="R823" i="58" s="1"/>
  <c r="J823" i="58"/>
  <c r="N823" i="58" s="1"/>
  <c r="Q821" i="58"/>
  <c r="R821" i="58" s="1"/>
  <c r="Q819" i="58"/>
  <c r="R819" i="58" s="1"/>
  <c r="J819" i="58"/>
  <c r="N819" i="58" s="1"/>
  <c r="Q815" i="58"/>
  <c r="R815" i="58" s="1"/>
  <c r="J815" i="58"/>
  <c r="N815" i="58" s="1"/>
  <c r="Q812" i="58"/>
  <c r="R812" i="58" s="1"/>
  <c r="Q811" i="58"/>
  <c r="R811" i="58" s="1"/>
  <c r="J811" i="58"/>
  <c r="N811" i="58" s="1"/>
  <c r="Q808" i="58"/>
  <c r="R808" i="58" s="1"/>
  <c r="M808" i="58"/>
  <c r="J808" i="58"/>
  <c r="N808" i="58" s="1"/>
  <c r="O808" i="58" s="1"/>
  <c r="R804" i="58"/>
  <c r="Q804" i="58"/>
  <c r="R803" i="58"/>
  <c r="Q803" i="58"/>
  <c r="M803" i="58"/>
  <c r="J803" i="58"/>
  <c r="J835" i="58" s="1"/>
  <c r="Q746" i="58"/>
  <c r="R746" i="58" s="1"/>
  <c r="N746" i="58"/>
  <c r="O746" i="58" s="1"/>
  <c r="J746" i="58"/>
  <c r="M746" i="58" s="1"/>
  <c r="Q741" i="58"/>
  <c r="R741" i="58" s="1"/>
  <c r="J741" i="58"/>
  <c r="N741" i="58" s="1"/>
  <c r="Q736" i="58"/>
  <c r="R736" i="58" s="1"/>
  <c r="J736" i="58"/>
  <c r="N736" i="58" s="1"/>
  <c r="Q731" i="58"/>
  <c r="R731" i="58" s="1"/>
  <c r="J731" i="58"/>
  <c r="J770" i="58" s="1"/>
  <c r="J668" i="58"/>
  <c r="M668" i="58" s="1"/>
  <c r="Q664" i="58"/>
  <c r="R664" i="58" s="1"/>
  <c r="J664" i="58"/>
  <c r="N664" i="58" s="1"/>
  <c r="Q660" i="58"/>
  <c r="R660" i="58" s="1"/>
  <c r="J660" i="58"/>
  <c r="J701" i="58" s="1"/>
  <c r="Q614" i="58"/>
  <c r="R614" i="58" s="1"/>
  <c r="J614" i="58"/>
  <c r="N614" i="58" s="1"/>
  <c r="Q609" i="58"/>
  <c r="R609" i="58" s="1"/>
  <c r="N609" i="58"/>
  <c r="O609" i="58" s="1"/>
  <c r="J609" i="58"/>
  <c r="M609" i="58" s="1"/>
  <c r="Q604" i="58"/>
  <c r="R604" i="58" s="1"/>
  <c r="J604" i="58"/>
  <c r="N604" i="58" s="1"/>
  <c r="Q599" i="58"/>
  <c r="R599" i="58" s="1"/>
  <c r="J599" i="58"/>
  <c r="N599" i="58" s="1"/>
  <c r="Q594" i="58"/>
  <c r="R594" i="58" s="1"/>
  <c r="J594" i="58"/>
  <c r="N594" i="58" s="1"/>
  <c r="Q590" i="58"/>
  <c r="R590" i="58" s="1"/>
  <c r="Q589" i="58"/>
  <c r="R589" i="58" s="1"/>
  <c r="J589" i="58"/>
  <c r="M589" i="58" s="1"/>
  <c r="Q558" i="58"/>
  <c r="R558" i="58" s="1"/>
  <c r="M558" i="58"/>
  <c r="J558" i="58"/>
  <c r="N558" i="58" s="1"/>
  <c r="O558" i="58" s="1"/>
  <c r="Q555" i="58"/>
  <c r="R555" i="58" s="1"/>
  <c r="J555" i="58"/>
  <c r="N555" i="58" s="1"/>
  <c r="R552" i="58"/>
  <c r="Q552" i="58"/>
  <c r="N552" i="58"/>
  <c r="J552" i="58"/>
  <c r="M552" i="58" s="1"/>
  <c r="Q549" i="58"/>
  <c r="R549" i="58" s="1"/>
  <c r="J549" i="58"/>
  <c r="N549" i="58" s="1"/>
  <c r="Q546" i="58"/>
  <c r="R546" i="58" s="1"/>
  <c r="J546" i="58"/>
  <c r="N546" i="58" s="1"/>
  <c r="Q543" i="58"/>
  <c r="R543" i="58" s="1"/>
  <c r="J543" i="58"/>
  <c r="N543" i="58" s="1"/>
  <c r="Q540" i="58"/>
  <c r="R540" i="58" s="1"/>
  <c r="J540" i="58"/>
  <c r="N540" i="58" s="1"/>
  <c r="Q537" i="58"/>
  <c r="R537" i="58" s="1"/>
  <c r="J537" i="58"/>
  <c r="N537" i="58" s="1"/>
  <c r="Q533" i="58"/>
  <c r="R533" i="58" s="1"/>
  <c r="J533" i="58"/>
  <c r="N533" i="58" s="1"/>
  <c r="Q529" i="58"/>
  <c r="R529" i="58" s="1"/>
  <c r="J529" i="58"/>
  <c r="N529" i="58" s="1"/>
  <c r="Q526" i="58"/>
  <c r="R526" i="58" s="1"/>
  <c r="Q524" i="58"/>
  <c r="R524" i="58" s="1"/>
  <c r="J524" i="58"/>
  <c r="N524" i="58" s="1"/>
  <c r="Q518" i="58"/>
  <c r="R518" i="58" s="1"/>
  <c r="N518" i="58"/>
  <c r="M518" i="58"/>
  <c r="J518" i="58"/>
  <c r="J465" i="58"/>
  <c r="M465" i="58" s="1"/>
  <c r="Q461" i="58"/>
  <c r="R461" i="58" s="1"/>
  <c r="J461" i="58"/>
  <c r="Q457" i="58"/>
  <c r="R457" i="58" s="1"/>
  <c r="J457" i="58"/>
  <c r="M457" i="58" s="1"/>
  <c r="Q454" i="58"/>
  <c r="R454" i="58" s="1"/>
  <c r="J454" i="58"/>
  <c r="Q449" i="58"/>
  <c r="R449" i="58" s="1"/>
  <c r="Q448" i="58"/>
  <c r="R448" i="58" s="1"/>
  <c r="J448" i="58"/>
  <c r="L415" i="58"/>
  <c r="Q384" i="58"/>
  <c r="R384" i="58" s="1"/>
  <c r="M384" i="58"/>
  <c r="J384" i="58"/>
  <c r="N384" i="58" s="1"/>
  <c r="O384" i="58" s="1"/>
  <c r="Q381" i="58"/>
  <c r="R381" i="58" s="1"/>
  <c r="J381" i="58"/>
  <c r="N381" i="58" s="1"/>
  <c r="Q377" i="58"/>
  <c r="R377" i="58" s="1"/>
  <c r="J377" i="58"/>
  <c r="J415" i="58" s="1"/>
  <c r="L345" i="58"/>
  <c r="Q313" i="58"/>
  <c r="R313" i="58" s="1"/>
  <c r="J313" i="58"/>
  <c r="M313" i="58" s="1"/>
  <c r="Q310" i="58"/>
  <c r="R310" i="58" s="1"/>
  <c r="J310" i="58"/>
  <c r="Q306" i="58"/>
  <c r="R306" i="58" s="1"/>
  <c r="N306" i="58"/>
  <c r="O306" i="58" s="1"/>
  <c r="J306" i="58"/>
  <c r="M306" i="58" s="1"/>
  <c r="Q242" i="58"/>
  <c r="R242" i="58" s="1"/>
  <c r="J242" i="58"/>
  <c r="N242" i="58" s="1"/>
  <c r="Q239" i="58"/>
  <c r="R239" i="58" s="1"/>
  <c r="M239" i="58"/>
  <c r="J239" i="58"/>
  <c r="N239" i="58" s="1"/>
  <c r="O239" i="58" s="1"/>
  <c r="Q235" i="58"/>
  <c r="R235" i="58" s="1"/>
  <c r="J235" i="58"/>
  <c r="J271" i="58" s="1"/>
  <c r="R181" i="58"/>
  <c r="Q181" i="58"/>
  <c r="N181" i="58"/>
  <c r="J181" i="58"/>
  <c r="M181" i="58" s="1"/>
  <c r="Q177" i="58"/>
  <c r="R177" i="58" s="1"/>
  <c r="J177" i="58"/>
  <c r="N177" i="58" s="1"/>
  <c r="Q173" i="58"/>
  <c r="R173" i="58" s="1"/>
  <c r="M173" i="58"/>
  <c r="J173" i="58"/>
  <c r="N173" i="58" s="1"/>
  <c r="Q170" i="58"/>
  <c r="R170" i="58" s="1"/>
  <c r="J170" i="58"/>
  <c r="N170" i="58" s="1"/>
  <c r="R166" i="58"/>
  <c r="Q166" i="58"/>
  <c r="J166" i="58"/>
  <c r="Q163" i="58"/>
  <c r="R163" i="58" s="1"/>
  <c r="J163" i="58"/>
  <c r="N163" i="58" s="1"/>
  <c r="Q158" i="58"/>
  <c r="R158" i="58" s="1"/>
  <c r="J158" i="58"/>
  <c r="N158" i="58" s="1"/>
  <c r="R125" i="58"/>
  <c r="Q125" i="58"/>
  <c r="J125" i="58"/>
  <c r="Q121" i="58"/>
  <c r="R121" i="58" s="1"/>
  <c r="J121" i="58"/>
  <c r="N121" i="58" s="1"/>
  <c r="R117" i="58"/>
  <c r="Q117" i="58"/>
  <c r="J117" i="58"/>
  <c r="M117" i="58" s="1"/>
  <c r="R113" i="58"/>
  <c r="Q113" i="58"/>
  <c r="J113" i="58"/>
  <c r="Q110" i="58"/>
  <c r="R110" i="58" s="1"/>
  <c r="N110" i="58"/>
  <c r="J110" i="58"/>
  <c r="M110" i="58" s="1"/>
  <c r="Q106" i="58"/>
  <c r="R106" i="58" s="1"/>
  <c r="J106" i="58"/>
  <c r="N106" i="58" s="1"/>
  <c r="Q102" i="58"/>
  <c r="R102" i="58" s="1"/>
  <c r="J102" i="58"/>
  <c r="M102" i="58" s="1"/>
  <c r="Q98" i="58"/>
  <c r="R98" i="58" s="1"/>
  <c r="J98" i="58"/>
  <c r="N98" i="58" s="1"/>
  <c r="Q94" i="58"/>
  <c r="R94" i="58" s="1"/>
  <c r="N94" i="58"/>
  <c r="J94" i="58"/>
  <c r="M94" i="58" s="1"/>
  <c r="R90" i="58"/>
  <c r="Q90" i="58"/>
  <c r="M90" i="58"/>
  <c r="J90" i="58"/>
  <c r="N90" i="58" s="1"/>
  <c r="Q86" i="58"/>
  <c r="R86" i="58" s="1"/>
  <c r="J86" i="58"/>
  <c r="N86" i="58" s="1"/>
  <c r="Q52" i="58"/>
  <c r="R52" i="58" s="1"/>
  <c r="N52" i="58"/>
  <c r="J52" i="58"/>
  <c r="M52" i="58" s="1"/>
  <c r="Q48" i="58"/>
  <c r="R48" i="58" s="1"/>
  <c r="M48" i="58"/>
  <c r="J48" i="58"/>
  <c r="N48" i="58" s="1"/>
  <c r="Q41" i="58"/>
  <c r="R41" i="58" s="1"/>
  <c r="J41" i="58"/>
  <c r="M41" i="58" s="1"/>
  <c r="Q38" i="58"/>
  <c r="R38" i="58" s="1"/>
  <c r="J38" i="58"/>
  <c r="N38" i="58" s="1"/>
  <c r="Q35" i="58"/>
  <c r="R35" i="58" s="1"/>
  <c r="N35" i="58"/>
  <c r="J35" i="58"/>
  <c r="M35" i="58" s="1"/>
  <c r="O35" i="58" s="1"/>
  <c r="R31" i="58"/>
  <c r="Q31" i="58"/>
  <c r="J31" i="58"/>
  <c r="N31" i="58" s="1"/>
  <c r="Q28" i="58"/>
  <c r="R28" i="58" s="1"/>
  <c r="J28" i="58"/>
  <c r="M28" i="58" s="1"/>
  <c r="Q25" i="58"/>
  <c r="R25" i="58" s="1"/>
  <c r="J25" i="58"/>
  <c r="N25" i="58" s="1"/>
  <c r="Q21" i="58"/>
  <c r="R21" i="58" s="1"/>
  <c r="N21" i="58"/>
  <c r="J21" i="58"/>
  <c r="M21" i="58" s="1"/>
  <c r="Q19" i="58"/>
  <c r="R19" i="58" s="1"/>
  <c r="M19" i="58"/>
  <c r="J19" i="58"/>
  <c r="Q15" i="58"/>
  <c r="R15" i="58" s="1"/>
  <c r="J15" i="58"/>
  <c r="M15" i="58" s="1"/>
  <c r="N166" i="58" l="1"/>
  <c r="M166" i="58"/>
  <c r="O38" i="58"/>
  <c r="M38" i="58"/>
  <c r="N41" i="58"/>
  <c r="O41" i="58" s="1"/>
  <c r="O90" i="58"/>
  <c r="O94" i="58"/>
  <c r="M98" i="58"/>
  <c r="O98" i="58" s="1"/>
  <c r="N102" i="58"/>
  <c r="O102" i="58" s="1"/>
  <c r="N113" i="58"/>
  <c r="O113" i="58" s="1"/>
  <c r="M113" i="58"/>
  <c r="N125" i="58"/>
  <c r="M125" i="58"/>
  <c r="O1011" i="58"/>
  <c r="O25" i="58"/>
  <c r="M31" i="58"/>
  <c r="O31" i="58" s="1"/>
  <c r="N15" i="58"/>
  <c r="J55" i="58"/>
  <c r="O21" i="58"/>
  <c r="M25" i="58"/>
  <c r="N28" i="58"/>
  <c r="O28" i="58" s="1"/>
  <c r="O48" i="58"/>
  <c r="O52" i="58"/>
  <c r="M106" i="58"/>
  <c r="O106" i="58" s="1"/>
  <c r="N313" i="58"/>
  <c r="O313" i="58" s="1"/>
  <c r="M377" i="58"/>
  <c r="M381" i="58"/>
  <c r="J561" i="58"/>
  <c r="M533" i="58"/>
  <c r="M604" i="58"/>
  <c r="M741" i="58"/>
  <c r="N803" i="58"/>
  <c r="O803" i="58" s="1"/>
  <c r="M811" i="58"/>
  <c r="M823" i="58"/>
  <c r="M829" i="58"/>
  <c r="M878" i="58"/>
  <c r="O881" i="58"/>
  <c r="N890" i="58"/>
  <c r="N900" i="58"/>
  <c r="N938" i="58"/>
  <c r="O938" i="58" s="1"/>
  <c r="M1007" i="58"/>
  <c r="M1017" i="58"/>
  <c r="M1023" i="58"/>
  <c r="O1023" i="58" s="1"/>
  <c r="M1031" i="58"/>
  <c r="M1039" i="58"/>
  <c r="M1041" i="58"/>
  <c r="O1041" i="58" s="1"/>
  <c r="M1045" i="58"/>
  <c r="O1045" i="58" s="1"/>
  <c r="M1051" i="58"/>
  <c r="M1053" i="58"/>
  <c r="O1053" i="58" s="1"/>
  <c r="M1059" i="58"/>
  <c r="M1082" i="58"/>
  <c r="M1113" i="58" s="1"/>
  <c r="M1162" i="58"/>
  <c r="M1194" i="58" s="1"/>
  <c r="M1166" i="58"/>
  <c r="O1166" i="58" s="1"/>
  <c r="O552" i="58"/>
  <c r="O614" i="58"/>
  <c r="J909" i="58"/>
  <c r="O1025" i="58"/>
  <c r="O1033" i="58"/>
  <c r="O1047" i="58"/>
  <c r="O1055" i="58"/>
  <c r="O1087" i="58"/>
  <c r="O121" i="58"/>
  <c r="J185" i="58"/>
  <c r="N457" i="58"/>
  <c r="O457" i="58" s="1"/>
  <c r="O518" i="58"/>
  <c r="M540" i="58"/>
  <c r="M543" i="58"/>
  <c r="O543" i="58" s="1"/>
  <c r="M546" i="58"/>
  <c r="M594" i="58"/>
  <c r="M627" i="58" s="1"/>
  <c r="M599" i="58"/>
  <c r="O599" i="58" s="1"/>
  <c r="M614" i="58"/>
  <c r="M660" i="58"/>
  <c r="M701" i="58" s="1"/>
  <c r="M664" i="58"/>
  <c r="O664" i="58" s="1"/>
  <c r="M731" i="58"/>
  <c r="M770" i="58" s="1"/>
  <c r="M736" i="58"/>
  <c r="O736" i="58" s="1"/>
  <c r="M815" i="58"/>
  <c r="O815" i="58" s="1"/>
  <c r="M819" i="58"/>
  <c r="O819" i="58" s="1"/>
  <c r="M868" i="58"/>
  <c r="M871" i="58"/>
  <c r="O871" i="58" s="1"/>
  <c r="M875" i="58"/>
  <c r="O875" i="58" s="1"/>
  <c r="O110" i="58"/>
  <c r="N117" i="58"/>
  <c r="O117" i="58" s="1"/>
  <c r="M121" i="58"/>
  <c r="M158" i="58"/>
  <c r="O381" i="58"/>
  <c r="N465" i="58"/>
  <c r="J627" i="58"/>
  <c r="O823" i="58"/>
  <c r="O826" i="58"/>
  <c r="O829" i="58"/>
  <c r="O878" i="58"/>
  <c r="N884" i="58"/>
  <c r="O15" i="58"/>
  <c r="M55" i="58"/>
  <c r="N19" i="58"/>
  <c r="O19" i="58" s="1"/>
  <c r="J127" i="58"/>
  <c r="J186" i="58" s="1"/>
  <c r="O125" i="58"/>
  <c r="N310" i="58"/>
  <c r="M310" i="58"/>
  <c r="N454" i="58"/>
  <c r="O454" i="58" s="1"/>
  <c r="M454" i="58"/>
  <c r="O884" i="58"/>
  <c r="N941" i="58"/>
  <c r="O941" i="58" s="1"/>
  <c r="M941" i="58"/>
  <c r="O950" i="58"/>
  <c r="M86" i="58"/>
  <c r="O158" i="58"/>
  <c r="O166" i="58"/>
  <c r="O173" i="58"/>
  <c r="O181" i="58"/>
  <c r="M345" i="58"/>
  <c r="J345" i="58"/>
  <c r="N448" i="58"/>
  <c r="J488" i="58"/>
  <c r="M448" i="58"/>
  <c r="N461" i="58"/>
  <c r="O461" i="58" s="1"/>
  <c r="M461" i="58"/>
  <c r="O540" i="58"/>
  <c r="O546" i="58"/>
  <c r="O604" i="58"/>
  <c r="O741" i="58"/>
  <c r="M835" i="58"/>
  <c r="O811" i="58"/>
  <c r="O890" i="58"/>
  <c r="O900" i="58"/>
  <c r="N947" i="58"/>
  <c r="M947" i="58"/>
  <c r="O533" i="58"/>
  <c r="O868" i="58"/>
  <c r="N887" i="58"/>
  <c r="M887" i="58"/>
  <c r="N897" i="58"/>
  <c r="M897" i="58"/>
  <c r="N953" i="58"/>
  <c r="M953" i="58"/>
  <c r="M974" i="58" s="1"/>
  <c r="O1017" i="58"/>
  <c r="O1031" i="58"/>
  <c r="O1039" i="58"/>
  <c r="O1051" i="58"/>
  <c r="O1059" i="58"/>
  <c r="J1116" i="58"/>
  <c r="N893" i="58"/>
  <c r="M893" i="58"/>
  <c r="N903" i="58"/>
  <c r="O903" i="58" s="1"/>
  <c r="M903" i="58"/>
  <c r="N377" i="58"/>
  <c r="O377" i="58" s="1"/>
  <c r="N589" i="58"/>
  <c r="O589" i="58" s="1"/>
  <c r="N660" i="58"/>
  <c r="O660" i="58" s="1"/>
  <c r="N731" i="58"/>
  <c r="O731" i="58" s="1"/>
  <c r="N1082" i="58"/>
  <c r="O1082" i="58" s="1"/>
  <c r="N1162" i="58"/>
  <c r="O1162" i="58" s="1"/>
  <c r="M163" i="58"/>
  <c r="O163" i="58" s="1"/>
  <c r="M170" i="58"/>
  <c r="O170" i="58" s="1"/>
  <c r="M177" i="58"/>
  <c r="O177" i="58" s="1"/>
  <c r="M235" i="58"/>
  <c r="M242" i="58"/>
  <c r="O242" i="58" s="1"/>
  <c r="M524" i="58"/>
  <c r="O524" i="58" s="1"/>
  <c r="M529" i="58"/>
  <c r="O529" i="58" s="1"/>
  <c r="M537" i="58"/>
  <c r="O537" i="58" s="1"/>
  <c r="M549" i="58"/>
  <c r="O549" i="58" s="1"/>
  <c r="M555" i="58"/>
  <c r="O555" i="58" s="1"/>
  <c r="J974" i="58"/>
  <c r="N235" i="58"/>
  <c r="O235" i="58" s="1"/>
  <c r="M909" i="58" l="1"/>
  <c r="J1220" i="58"/>
  <c r="J1221" i="58" s="1"/>
  <c r="O594" i="58"/>
  <c r="O893" i="58"/>
  <c r="O947" i="58"/>
  <c r="O448" i="58"/>
  <c r="O310" i="58"/>
  <c r="M415" i="58"/>
  <c r="M1061" i="58"/>
  <c r="M1116" i="58" s="1"/>
  <c r="O1007" i="58"/>
  <c r="M561" i="58"/>
  <c r="O953" i="58"/>
  <c r="O887" i="58"/>
  <c r="M488" i="58"/>
  <c r="M185" i="58"/>
  <c r="M186" i="58" s="1"/>
  <c r="M127" i="58"/>
  <c r="O86" i="58"/>
  <c r="O897" i="58"/>
  <c r="N133" i="1"/>
  <c r="M1220" i="58" l="1"/>
  <c r="M1221" i="58" s="1"/>
  <c r="N124" i="1"/>
  <c r="N121" i="1" l="1"/>
  <c r="N325" i="1" l="1"/>
  <c r="N337" i="1"/>
  <c r="M337" i="1"/>
  <c r="L720" i="45"/>
  <c r="L158" i="45"/>
  <c r="L615" i="45"/>
  <c r="L94" i="45"/>
  <c r="L261" i="45" l="1"/>
  <c r="N106" i="1" l="1"/>
  <c r="L87" i="1" l="1"/>
  <c r="L336" i="1"/>
  <c r="L328" i="1"/>
  <c r="L320" i="1"/>
  <c r="L319" i="1"/>
  <c r="L318" i="1"/>
  <c r="L317" i="1"/>
  <c r="L316" i="1"/>
  <c r="L315" i="1"/>
  <c r="L314" i="1"/>
  <c r="L313" i="1"/>
  <c r="L311" i="1"/>
  <c r="L310" i="1"/>
  <c r="L309" i="1"/>
  <c r="L308" i="1"/>
  <c r="L312" i="1"/>
  <c r="M312" i="1" s="1"/>
  <c r="L307" i="1"/>
  <c r="L306" i="1"/>
  <c r="L304" i="1"/>
  <c r="L303" i="1"/>
  <c r="L301" i="1"/>
  <c r="L300" i="1"/>
  <c r="L137" i="1"/>
  <c r="L136" i="1"/>
  <c r="L133" i="1"/>
  <c r="K127" i="1"/>
  <c r="L129" i="1"/>
  <c r="L122" i="1"/>
  <c r="L121" i="1"/>
  <c r="L128" i="1"/>
  <c r="L124" i="1"/>
  <c r="L123" i="1"/>
  <c r="L125" i="1"/>
  <c r="L127" i="1"/>
  <c r="L126" i="1"/>
  <c r="L120" i="1"/>
  <c r="L119" i="1"/>
  <c r="L118" i="1"/>
  <c r="L116" i="1"/>
  <c r="L115" i="1"/>
  <c r="L114" i="1"/>
  <c r="L113" i="1"/>
  <c r="L112" i="1"/>
  <c r="L111" i="1"/>
  <c r="L107" i="1"/>
  <c r="L105" i="1"/>
  <c r="L104" i="1"/>
  <c r="L103" i="1"/>
  <c r="L102" i="1"/>
  <c r="L101" i="1"/>
  <c r="L100" i="1"/>
  <c r="L95" i="1"/>
  <c r="M95" i="1" s="1"/>
  <c r="L93" i="1"/>
  <c r="L98" i="1"/>
  <c r="L99" i="1"/>
  <c r="L97" i="1"/>
  <c r="L96" i="1"/>
  <c r="L92" i="1"/>
  <c r="L91" i="1"/>
  <c r="L90" i="1"/>
  <c r="L88" i="1"/>
  <c r="L85" i="1"/>
  <c r="I218" i="16" l="1"/>
  <c r="G108" i="16" l="1"/>
  <c r="G109" i="16"/>
  <c r="J139" i="16"/>
  <c r="J140" i="16"/>
  <c r="J141" i="16"/>
  <c r="J142" i="16"/>
  <c r="J143" i="16"/>
  <c r="J144" i="16"/>
  <c r="J145" i="16"/>
  <c r="J146" i="16"/>
  <c r="J147" i="16"/>
  <c r="J148" i="16"/>
  <c r="J149" i="16"/>
  <c r="G137" i="16" l="1"/>
  <c r="G136" i="16"/>
  <c r="G135" i="16"/>
  <c r="G132" i="16"/>
  <c r="G120" i="16"/>
  <c r="G117" i="16"/>
  <c r="G113" i="16"/>
  <c r="G111" i="16"/>
  <c r="G27" i="16" l="1"/>
  <c r="G26" i="16"/>
  <c r="G23" i="16"/>
  <c r="G22" i="16"/>
  <c r="G20" i="16"/>
  <c r="G19" i="16"/>
  <c r="G14" i="16"/>
  <c r="G13" i="16"/>
  <c r="J720" i="45"/>
  <c r="J615" i="45"/>
  <c r="J470" i="45"/>
  <c r="J399" i="45"/>
  <c r="J345" i="45"/>
  <c r="J302" i="45"/>
  <c r="J261" i="45"/>
  <c r="J216" i="45"/>
  <c r="J158" i="45"/>
  <c r="K50" i="45" l="1"/>
  <c r="J125" i="45" l="1"/>
  <c r="J94" i="45"/>
  <c r="J50" i="45"/>
  <c r="J11" i="45"/>
  <c r="H137" i="16"/>
  <c r="I137" i="16" s="1"/>
  <c r="H41" i="16"/>
  <c r="I109" i="16"/>
  <c r="I108" i="16"/>
  <c r="I162" i="16"/>
  <c r="J162" i="16" s="1"/>
  <c r="I163" i="16"/>
  <c r="J163" i="16" s="1"/>
  <c r="I161" i="16"/>
  <c r="J161" i="16" s="1"/>
  <c r="I160" i="16"/>
  <c r="J160" i="16" s="1"/>
  <c r="I159" i="16"/>
  <c r="J159" i="16" s="1"/>
  <c r="I158" i="16"/>
  <c r="J158" i="16" s="1"/>
  <c r="I157" i="16"/>
  <c r="J157" i="16" s="1"/>
  <c r="I156" i="16"/>
  <c r="J156" i="16" s="1"/>
  <c r="I155" i="16"/>
  <c r="J155" i="16" s="1"/>
  <c r="I154" i="16"/>
  <c r="J154" i="16" s="1"/>
  <c r="I152" i="16"/>
  <c r="J152" i="16" s="1"/>
  <c r="I153" i="16"/>
  <c r="J153" i="16" s="1"/>
  <c r="I151" i="16"/>
  <c r="J151" i="16" s="1"/>
  <c r="I150" i="16"/>
  <c r="J150" i="16" s="1"/>
  <c r="K165" i="16"/>
  <c r="I131" i="16"/>
  <c r="I130" i="16"/>
  <c r="I129" i="16"/>
  <c r="I128" i="16"/>
  <c r="I126" i="16"/>
  <c r="I125" i="16"/>
  <c r="I124" i="16"/>
  <c r="I123" i="16"/>
  <c r="I122" i="16"/>
  <c r="I121" i="16"/>
  <c r="I120" i="16"/>
  <c r="I119" i="16"/>
  <c r="I118" i="16"/>
  <c r="I117" i="16"/>
  <c r="I116" i="16"/>
  <c r="I115" i="16"/>
  <c r="I40" i="16"/>
  <c r="J40" i="16" s="1"/>
  <c r="I39" i="16"/>
  <c r="J39" i="16" s="1"/>
  <c r="I38" i="16"/>
  <c r="J38" i="16" s="1"/>
  <c r="I37" i="16"/>
  <c r="J37" i="16" s="1"/>
  <c r="I36" i="16"/>
  <c r="I33" i="16"/>
  <c r="I32" i="16"/>
  <c r="I31" i="16"/>
  <c r="I30" i="16"/>
  <c r="I28" i="16"/>
  <c r="I24" i="16"/>
  <c r="H165" i="16" l="1"/>
  <c r="J139" i="1" l="1"/>
  <c r="J127" i="1"/>
  <c r="M106" i="1"/>
  <c r="M231" i="1" l="1"/>
  <c r="M232" i="1"/>
  <c r="L247" i="1"/>
  <c r="L246" i="1"/>
  <c r="L242" i="1"/>
  <c r="L241" i="1"/>
  <c r="L63" i="1"/>
  <c r="L58" i="1"/>
  <c r="L56" i="1"/>
  <c r="L55" i="1"/>
  <c r="L54" i="1"/>
  <c r="L53" i="1"/>
  <c r="L50" i="1"/>
  <c r="L49" i="1"/>
  <c r="L48" i="1"/>
  <c r="L45" i="1"/>
  <c r="L43" i="1"/>
  <c r="L42" i="1"/>
  <c r="L40" i="1"/>
  <c r="L38" i="1"/>
  <c r="L36" i="1"/>
  <c r="L35" i="1"/>
  <c r="L34" i="1"/>
  <c r="L28" i="1"/>
  <c r="L27" i="1"/>
  <c r="L25" i="1"/>
  <c r="L24" i="1"/>
  <c r="L21" i="1"/>
  <c r="L20" i="1"/>
  <c r="L19" i="1"/>
  <c r="K214" i="16" l="1"/>
  <c r="K41" i="16" l="1"/>
  <c r="L11" i="45"/>
  <c r="I83" i="20" l="1"/>
  <c r="M318" i="1" l="1"/>
  <c r="M285" i="1" l="1"/>
  <c r="M70" i="1"/>
  <c r="K344" i="1"/>
  <c r="M344" i="1" s="1"/>
  <c r="J214" i="16" l="1"/>
  <c r="H214" i="16"/>
  <c r="G214" i="16"/>
  <c r="M104" i="1" l="1"/>
  <c r="I12" i="20" l="1"/>
  <c r="I227" i="13"/>
  <c r="N137" i="1"/>
  <c r="N136" i="1"/>
  <c r="J36" i="16" l="1"/>
  <c r="L125" i="45" l="1"/>
  <c r="L330" i="1" l="1"/>
  <c r="L329" i="1"/>
  <c r="L327" i="1"/>
  <c r="L326" i="1"/>
  <c r="L325" i="1"/>
  <c r="L324" i="1"/>
  <c r="L323" i="1"/>
  <c r="L305" i="1"/>
  <c r="L117" i="1"/>
  <c r="L89" i="1"/>
  <c r="M85" i="1" l="1"/>
  <c r="I111" i="16" l="1"/>
  <c r="I134" i="16" l="1"/>
  <c r="I132" i="16"/>
  <c r="L245" i="1" l="1"/>
  <c r="L57" i="1" l="1"/>
  <c r="L44" i="1"/>
  <c r="L33" i="1"/>
  <c r="L23" i="1"/>
  <c r="G41" i="16" l="1"/>
  <c r="O763" i="45" l="1"/>
  <c r="L742" i="45"/>
  <c r="J742" i="45"/>
  <c r="L676" i="45"/>
  <c r="J676" i="45"/>
  <c r="J497" i="45"/>
  <c r="J415" i="45"/>
  <c r="L185" i="45"/>
  <c r="J185" i="45"/>
  <c r="L103" i="45"/>
  <c r="J103" i="45"/>
  <c r="C125" i="44" l="1"/>
  <c r="L124" i="44"/>
  <c r="L123" i="44"/>
  <c r="L122" i="44"/>
  <c r="L121" i="44"/>
  <c r="L120" i="44"/>
  <c r="L119" i="44"/>
  <c r="L118" i="44"/>
  <c r="L117" i="44"/>
  <c r="L116" i="44"/>
  <c r="L115" i="44"/>
  <c r="L114" i="44"/>
  <c r="L113" i="44"/>
  <c r="L112" i="44"/>
  <c r="L111" i="44"/>
  <c r="L110" i="44"/>
  <c r="L109" i="44"/>
  <c r="L108" i="44"/>
  <c r="L107" i="44"/>
  <c r="L106" i="44"/>
  <c r="L105" i="44"/>
  <c r="L104" i="44"/>
  <c r="L103" i="44"/>
  <c r="L102" i="44"/>
  <c r="L101" i="44"/>
  <c r="L100" i="44"/>
  <c r="L99" i="44"/>
  <c r="L98" i="44"/>
  <c r="L97" i="44"/>
  <c r="L96" i="44"/>
  <c r="L95" i="44"/>
  <c r="L94" i="44"/>
  <c r="L87" i="44"/>
  <c r="L86" i="44"/>
  <c r="L85" i="44"/>
  <c r="L84" i="44"/>
  <c r="L83" i="44"/>
  <c r="L82" i="44"/>
  <c r="L81" i="44"/>
  <c r="L80" i="44"/>
  <c r="L79" i="44"/>
  <c r="L88" i="44"/>
  <c r="K78" i="44"/>
  <c r="L77" i="44"/>
  <c r="L76" i="44"/>
  <c r="L75" i="44"/>
  <c r="L74" i="44"/>
  <c r="L67" i="44"/>
  <c r="L66" i="44"/>
  <c r="L65" i="44"/>
  <c r="L64" i="44"/>
  <c r="L63" i="44"/>
  <c r="L62" i="44"/>
  <c r="L61" i="44"/>
  <c r="L60" i="44"/>
  <c r="K59" i="44"/>
  <c r="I59" i="44"/>
  <c r="H59" i="44"/>
  <c r="F59" i="44"/>
  <c r="E59" i="44"/>
  <c r="D59" i="44"/>
  <c r="J58" i="44"/>
  <c r="G58" i="44"/>
  <c r="L58" i="44" s="1"/>
  <c r="J56" i="44"/>
  <c r="L56" i="44" s="1"/>
  <c r="J55" i="44"/>
  <c r="G55" i="44"/>
  <c r="J53" i="44"/>
  <c r="G53" i="44"/>
  <c r="L53" i="44" s="1"/>
  <c r="J52" i="44"/>
  <c r="G52" i="44"/>
  <c r="L52" i="44" s="1"/>
  <c r="J51" i="44"/>
  <c r="G51" i="44"/>
  <c r="L51" i="44" s="1"/>
  <c r="J50" i="44"/>
  <c r="G50" i="44"/>
  <c r="J49" i="44"/>
  <c r="G49" i="44"/>
  <c r="K48" i="44"/>
  <c r="I48" i="44"/>
  <c r="H48" i="44"/>
  <c r="F48" i="44"/>
  <c r="E48" i="44"/>
  <c r="J47" i="44"/>
  <c r="G47" i="44"/>
  <c r="R46" i="44"/>
  <c r="J46" i="44"/>
  <c r="G46" i="44"/>
  <c r="J45" i="44"/>
  <c r="G45" i="44"/>
  <c r="J44" i="44"/>
  <c r="G44" i="44"/>
  <c r="J43" i="44"/>
  <c r="L43" i="44" s="1"/>
  <c r="J42" i="44"/>
  <c r="G42" i="44"/>
  <c r="J41" i="44"/>
  <c r="G41" i="44"/>
  <c r="L41" i="44" s="1"/>
  <c r="J40" i="44"/>
  <c r="G40" i="44"/>
  <c r="J39" i="44"/>
  <c r="G39" i="44"/>
  <c r="J38" i="44"/>
  <c r="G38" i="44"/>
  <c r="C38" i="44" s="1"/>
  <c r="J37" i="44"/>
  <c r="G37" i="44"/>
  <c r="J36" i="44"/>
  <c r="D36" i="44"/>
  <c r="G36" i="44" s="1"/>
  <c r="C36" i="44" s="1"/>
  <c r="R35" i="44"/>
  <c r="J35" i="44"/>
  <c r="G35" i="44"/>
  <c r="C35" i="44"/>
  <c r="J34" i="44"/>
  <c r="G34" i="44"/>
  <c r="J33" i="44"/>
  <c r="G33" i="44"/>
  <c r="J32" i="44"/>
  <c r="G32" i="44"/>
  <c r="J31" i="44"/>
  <c r="G31" i="44"/>
  <c r="C31" i="44" s="1"/>
  <c r="J30" i="44"/>
  <c r="G30" i="44"/>
  <c r="C30" i="44" s="1"/>
  <c r="J29" i="44"/>
  <c r="G29" i="44"/>
  <c r="C29" i="44" s="1"/>
  <c r="D48" i="44"/>
  <c r="J27" i="44"/>
  <c r="G27" i="44"/>
  <c r="L27" i="44" s="1"/>
  <c r="J26" i="44"/>
  <c r="G26" i="44"/>
  <c r="J25" i="44"/>
  <c r="G25" i="44"/>
  <c r="L25" i="44" s="1"/>
  <c r="J24" i="44"/>
  <c r="D24" i="44"/>
  <c r="G24" i="44" s="1"/>
  <c r="C24" i="44" s="1"/>
  <c r="L24" i="44" s="1"/>
  <c r="J23" i="44"/>
  <c r="G23" i="44"/>
  <c r="C23" i="44" s="1"/>
  <c r="L23" i="44" s="1"/>
  <c r="J22" i="44"/>
  <c r="G22" i="44"/>
  <c r="C22" i="44" s="1"/>
  <c r="L22" i="44" s="1"/>
  <c r="J21" i="44"/>
  <c r="G21" i="44"/>
  <c r="C21" i="44" s="1"/>
  <c r="L21" i="44" s="1"/>
  <c r="J20" i="44"/>
  <c r="G20" i="44"/>
  <c r="C20" i="44" s="1"/>
  <c r="L20" i="44" s="1"/>
  <c r="J19" i="44"/>
  <c r="G19" i="44"/>
  <c r="C19" i="44" s="1"/>
  <c r="L19" i="44" s="1"/>
  <c r="J18" i="44"/>
  <c r="D18" i="44"/>
  <c r="G18" i="44" s="1"/>
  <c r="C18" i="44" s="1"/>
  <c r="L18" i="44" s="1"/>
  <c r="J17" i="44"/>
  <c r="G17" i="44"/>
  <c r="L17" i="44" s="1"/>
  <c r="J16" i="44"/>
  <c r="G16" i="44"/>
  <c r="L16" i="44" s="1"/>
  <c r="J15" i="44"/>
  <c r="G15" i="44"/>
  <c r="L15" i="44" s="1"/>
  <c r="J14" i="44"/>
  <c r="G14" i="44"/>
  <c r="C14" i="44" s="1"/>
  <c r="L14" i="44" s="1"/>
  <c r="J13" i="44"/>
  <c r="D13" i="44"/>
  <c r="G13" i="44" s="1"/>
  <c r="C13" i="44" s="1"/>
  <c r="L13" i="44" s="1"/>
  <c r="J12" i="44"/>
  <c r="G12" i="44"/>
  <c r="L12" i="44" s="1"/>
  <c r="J11" i="44"/>
  <c r="G11" i="44"/>
  <c r="C11" i="44" s="1"/>
  <c r="L11" i="44" s="1"/>
  <c r="J10" i="44"/>
  <c r="D10" i="44"/>
  <c r="G10" i="44" s="1"/>
  <c r="J9" i="44"/>
  <c r="D9" i="44"/>
  <c r="J8" i="44"/>
  <c r="G8" i="44"/>
  <c r="C8" i="44" s="1"/>
  <c r="L8" i="44" s="1"/>
  <c r="D8" i="44"/>
  <c r="J7" i="44"/>
  <c r="J28" i="44" s="1"/>
  <c r="G7" i="44"/>
  <c r="M125" i="1"/>
  <c r="R53" i="44" l="1"/>
  <c r="D28" i="44"/>
  <c r="C47" i="44"/>
  <c r="L26" i="44"/>
  <c r="L55" i="44"/>
  <c r="C7" i="44"/>
  <c r="C42" i="44"/>
  <c r="L47" i="44"/>
  <c r="L42" i="44"/>
  <c r="C59" i="44"/>
  <c r="L30" i="44"/>
  <c r="L44" i="44"/>
  <c r="L35" i="44"/>
  <c r="K125" i="44"/>
  <c r="K126" i="44" s="1"/>
  <c r="L32" i="44"/>
  <c r="L34" i="44"/>
  <c r="D126" i="44"/>
  <c r="L46" i="44"/>
  <c r="C10" i="44"/>
  <c r="L10" i="44" s="1"/>
  <c r="L33" i="44"/>
  <c r="L36" i="44"/>
  <c r="L40" i="44"/>
  <c r="L45" i="44"/>
  <c r="L37" i="44"/>
  <c r="L39" i="44"/>
  <c r="I126" i="44"/>
  <c r="J59" i="44"/>
  <c r="L38" i="44"/>
  <c r="L31" i="44"/>
  <c r="L29" i="44"/>
  <c r="J48" i="44"/>
  <c r="H126" i="44"/>
  <c r="F126" i="44"/>
  <c r="E126" i="44"/>
  <c r="L50" i="44"/>
  <c r="G59" i="44"/>
  <c r="G9" i="44"/>
  <c r="G28" i="44" s="1"/>
  <c r="G48" i="44"/>
  <c r="L78" i="44"/>
  <c r="L125" i="44" s="1"/>
  <c r="M126" i="44" s="1"/>
  <c r="L49" i="44"/>
  <c r="C9" i="44" l="1"/>
  <c r="C48" i="44"/>
  <c r="L48" i="44" s="1"/>
  <c r="J126" i="44"/>
  <c r="L59" i="44"/>
  <c r="G126" i="44"/>
  <c r="L7" i="44"/>
  <c r="J137" i="16"/>
  <c r="C28" i="44" l="1"/>
  <c r="L9" i="44"/>
  <c r="L28" i="44" s="1"/>
  <c r="C126" i="44"/>
  <c r="L126" i="44" l="1"/>
  <c r="L135" i="44" s="1"/>
  <c r="M330" i="1"/>
  <c r="L345" i="45" l="1"/>
  <c r="I136" i="16" l="1"/>
  <c r="I135" i="16"/>
  <c r="I114" i="16"/>
  <c r="H147" i="5" l="1"/>
  <c r="I20" i="16"/>
  <c r="J20" i="16" s="1"/>
  <c r="I13" i="16"/>
  <c r="I35" i="16"/>
  <c r="J35" i="16" s="1"/>
  <c r="I34" i="16"/>
  <c r="J34" i="16" s="1"/>
  <c r="J33" i="16"/>
  <c r="J30" i="16"/>
  <c r="I29" i="16"/>
  <c r="J29" i="16" s="1"/>
  <c r="J28" i="16"/>
  <c r="I27" i="16"/>
  <c r="J27" i="16" s="1"/>
  <c r="I23" i="16"/>
  <c r="J23" i="16" s="1"/>
  <c r="J24" i="16"/>
  <c r="I18" i="16"/>
  <c r="J18" i="16" s="1"/>
  <c r="I17" i="16"/>
  <c r="J17" i="16" s="1"/>
  <c r="I22" i="16" l="1"/>
  <c r="J22" i="16" s="1"/>
  <c r="I14" i="16"/>
  <c r="J14" i="16" s="1"/>
  <c r="I113" i="16"/>
  <c r="L46" i="1" l="1"/>
  <c r="G165" i="16" l="1"/>
  <c r="I116" i="13" l="1"/>
  <c r="H148" i="5" l="1"/>
  <c r="N117" i="1" l="1"/>
  <c r="N130" i="1" s="1"/>
  <c r="N108" i="1" l="1"/>
  <c r="M102" i="1" l="1"/>
  <c r="I138" i="16"/>
  <c r="J138" i="16" s="1"/>
  <c r="J136" i="16"/>
  <c r="J135" i="16"/>
  <c r="J134" i="16"/>
  <c r="I133" i="16"/>
  <c r="J132" i="16"/>
  <c r="J131" i="16"/>
  <c r="J130" i="16"/>
  <c r="J129" i="16"/>
  <c r="J128" i="16"/>
  <c r="I127" i="16"/>
  <c r="J127" i="16" s="1"/>
  <c r="J126" i="16"/>
  <c r="J124" i="16"/>
  <c r="J123" i="16"/>
  <c r="J122" i="16"/>
  <c r="J121" i="16"/>
  <c r="J120" i="16"/>
  <c r="J119" i="16"/>
  <c r="J118" i="16"/>
  <c r="J117" i="16"/>
  <c r="J116" i="16"/>
  <c r="J114" i="16"/>
  <c r="J113" i="16"/>
  <c r="J111" i="16"/>
  <c r="I110" i="16"/>
  <c r="J32" i="16"/>
  <c r="J31" i="16"/>
  <c r="I26" i="16"/>
  <c r="J26" i="16" s="1"/>
  <c r="I25" i="16"/>
  <c r="J25" i="16" s="1"/>
  <c r="I21" i="16"/>
  <c r="J21" i="16" s="1"/>
  <c r="I19" i="16"/>
  <c r="J19" i="16" s="1"/>
  <c r="I16" i="16"/>
  <c r="J16" i="16" s="1"/>
  <c r="I15" i="16"/>
  <c r="J13" i="16"/>
  <c r="L50" i="45"/>
  <c r="M50" i="45" s="1"/>
  <c r="L216" i="45"/>
  <c r="N321" i="1"/>
  <c r="M137" i="1"/>
  <c r="M336" i="1"/>
  <c r="L332" i="1"/>
  <c r="M332" i="1" s="1"/>
  <c r="L331" i="1"/>
  <c r="M331" i="1" s="1"/>
  <c r="M329" i="1"/>
  <c r="M327" i="1"/>
  <c r="M326" i="1"/>
  <c r="M325" i="1"/>
  <c r="M324" i="1"/>
  <c r="M323" i="1"/>
  <c r="M320" i="1"/>
  <c r="M319" i="1"/>
  <c r="M317" i="1"/>
  <c r="M316" i="1"/>
  <c r="M315" i="1"/>
  <c r="M314" i="1"/>
  <c r="M310" i="1"/>
  <c r="M309" i="1"/>
  <c r="M308" i="1"/>
  <c r="M311" i="1"/>
  <c r="M306" i="1"/>
  <c r="M305" i="1"/>
  <c r="M304" i="1"/>
  <c r="M303" i="1"/>
  <c r="M301" i="1"/>
  <c r="M300" i="1"/>
  <c r="K321" i="1"/>
  <c r="N138" i="1"/>
  <c r="L138" i="1"/>
  <c r="L139" i="1" s="1"/>
  <c r="M136" i="1"/>
  <c r="M133" i="1"/>
  <c r="M129" i="1"/>
  <c r="M128" i="1"/>
  <c r="M124" i="1"/>
  <c r="M123" i="1"/>
  <c r="M122" i="1"/>
  <c r="M126" i="1"/>
  <c r="M121" i="1"/>
  <c r="M120" i="1"/>
  <c r="M119" i="1"/>
  <c r="M118" i="1"/>
  <c r="M117" i="1"/>
  <c r="M116" i="1"/>
  <c r="M115" i="1"/>
  <c r="M114" i="1"/>
  <c r="M113" i="1"/>
  <c r="M112" i="1"/>
  <c r="M111" i="1"/>
  <c r="M107" i="1"/>
  <c r="M105" i="1"/>
  <c r="M103" i="1"/>
  <c r="M101" i="1"/>
  <c r="M100" i="1"/>
  <c r="M99" i="1"/>
  <c r="M98" i="1"/>
  <c r="M97" i="1"/>
  <c r="M96" i="1"/>
  <c r="M94" i="1"/>
  <c r="M92" i="1"/>
  <c r="M127" i="1"/>
  <c r="M93" i="1"/>
  <c r="M91" i="1"/>
  <c r="M90" i="1"/>
  <c r="M89" i="1"/>
  <c r="M88" i="1"/>
  <c r="M87" i="1"/>
  <c r="J321" i="1"/>
  <c r="M248" i="1"/>
  <c r="M247" i="1"/>
  <c r="M245" i="1"/>
  <c r="M242" i="1"/>
  <c r="M241" i="1"/>
  <c r="M49" i="1"/>
  <c r="M63" i="1"/>
  <c r="M58" i="1"/>
  <c r="M57" i="1"/>
  <c r="M56" i="1"/>
  <c r="M55" i="1"/>
  <c r="M54" i="1"/>
  <c r="M53" i="1"/>
  <c r="M50" i="1"/>
  <c r="M45" i="1"/>
  <c r="M44" i="1"/>
  <c r="M43" i="1"/>
  <c r="M42" i="1"/>
  <c r="M40" i="1"/>
  <c r="M39" i="1"/>
  <c r="M38" i="1"/>
  <c r="M36" i="1"/>
  <c r="M35" i="1"/>
  <c r="M34" i="1"/>
  <c r="M28" i="1"/>
  <c r="M27" i="1"/>
  <c r="M21" i="1"/>
  <c r="M23" i="1"/>
  <c r="M25" i="1"/>
  <c r="M24" i="1"/>
  <c r="M19" i="1"/>
  <c r="J60" i="1"/>
  <c r="I24" i="20"/>
  <c r="I23" i="20"/>
  <c r="I16" i="20"/>
  <c r="I15" i="20"/>
  <c r="I14" i="20"/>
  <c r="I13" i="20"/>
  <c r="I87" i="20"/>
  <c r="I86" i="20"/>
  <c r="I85" i="20"/>
  <c r="I84" i="20"/>
  <c r="I91" i="20"/>
  <c r="I92" i="20" s="1"/>
  <c r="I22" i="20"/>
  <c r="I21" i="20"/>
  <c r="L470" i="45"/>
  <c r="L497" i="45" s="1"/>
  <c r="L399" i="45"/>
  <c r="L302" i="45"/>
  <c r="I146" i="13"/>
  <c r="I14" i="13"/>
  <c r="H159" i="5"/>
  <c r="H200" i="5" s="1"/>
  <c r="H20" i="5"/>
  <c r="G182" i="16"/>
  <c r="J125" i="16"/>
  <c r="J115" i="16"/>
  <c r="J109" i="16"/>
  <c r="N60" i="1"/>
  <c r="N29" i="1"/>
  <c r="H18" i="5" s="1"/>
  <c r="N14" i="1"/>
  <c r="N65" i="1"/>
  <c r="K14" i="1"/>
  <c r="L14" i="1"/>
  <c r="K720" i="45"/>
  <c r="K615" i="45"/>
  <c r="K558" i="45"/>
  <c r="K470" i="45"/>
  <c r="K399" i="45"/>
  <c r="K415" i="45" s="1"/>
  <c r="K345" i="45"/>
  <c r="M345" i="45" s="1"/>
  <c r="K302" i="45"/>
  <c r="K261" i="45"/>
  <c r="M261" i="45" s="1"/>
  <c r="K216" i="45"/>
  <c r="M216" i="45" s="1"/>
  <c r="K158" i="45"/>
  <c r="M158" i="45" s="1"/>
  <c r="M185" i="45" s="1"/>
  <c r="K125" i="45"/>
  <c r="M125" i="45" s="1"/>
  <c r="K94" i="45"/>
  <c r="N249" i="1"/>
  <c r="H24" i="5" s="1"/>
  <c r="N233" i="1"/>
  <c r="H23" i="5" s="1"/>
  <c r="M226" i="1"/>
  <c r="N226" i="1" s="1"/>
  <c r="K333" i="1"/>
  <c r="K233" i="1"/>
  <c r="L233" i="1"/>
  <c r="J333" i="1"/>
  <c r="J108" i="1"/>
  <c r="M328" i="1"/>
  <c r="M313" i="1"/>
  <c r="M307" i="1"/>
  <c r="N333" i="1"/>
  <c r="M246" i="1"/>
  <c r="M243" i="1"/>
  <c r="M240" i="1"/>
  <c r="M238" i="1"/>
  <c r="M237" i="1"/>
  <c r="M236" i="1"/>
  <c r="K249" i="1"/>
  <c r="M64" i="1"/>
  <c r="M59" i="1"/>
  <c r="J14" i="1"/>
  <c r="J65" i="1"/>
  <c r="J29" i="1"/>
  <c r="J249" i="1"/>
  <c r="J233" i="1"/>
  <c r="K51" i="13"/>
  <c r="K89" i="13"/>
  <c r="M302" i="45" l="1"/>
  <c r="L558" i="45"/>
  <c r="L589" i="45" s="1"/>
  <c r="J558" i="45"/>
  <c r="J589" i="45" s="1"/>
  <c r="K742" i="45"/>
  <c r="M720" i="45"/>
  <c r="M742" i="45" s="1"/>
  <c r="K497" i="45"/>
  <c r="M470" i="45"/>
  <c r="M497" i="45" s="1"/>
  <c r="K589" i="45"/>
  <c r="M615" i="45"/>
  <c r="M676" i="45" s="1"/>
  <c r="K676" i="45"/>
  <c r="M94" i="45"/>
  <c r="M103" i="45" s="1"/>
  <c r="K103" i="45"/>
  <c r="L415" i="45"/>
  <c r="M399" i="45"/>
  <c r="M415" i="45" s="1"/>
  <c r="J133" i="16"/>
  <c r="I165" i="16"/>
  <c r="I41" i="16"/>
  <c r="J15" i="16"/>
  <c r="J41" i="16" s="1"/>
  <c r="I20" i="13"/>
  <c r="I216" i="13"/>
  <c r="I218" i="13" s="1"/>
  <c r="H204" i="16"/>
  <c r="H182" i="16"/>
  <c r="M138" i="1"/>
  <c r="M139" i="1"/>
  <c r="N139" i="1"/>
  <c r="K182" i="16"/>
  <c r="J110" i="16"/>
  <c r="G204" i="16"/>
  <c r="H209" i="16"/>
  <c r="L65" i="1"/>
  <c r="J108" i="16"/>
  <c r="H146" i="5"/>
  <c r="G209" i="16"/>
  <c r="K65" i="1"/>
  <c r="L249" i="1"/>
  <c r="L250" i="1" s="1"/>
  <c r="L333" i="1"/>
  <c r="I13" i="13"/>
  <c r="K250" i="1"/>
  <c r="M46" i="1"/>
  <c r="I114" i="13"/>
  <c r="H193" i="5"/>
  <c r="I259" i="13"/>
  <c r="I273" i="13"/>
  <c r="K11" i="45"/>
  <c r="M11" i="45" s="1"/>
  <c r="I12" i="13"/>
  <c r="N61" i="1"/>
  <c r="K130" i="1"/>
  <c r="M233" i="1"/>
  <c r="N345" i="1"/>
  <c r="K345" i="1"/>
  <c r="I19" i="13"/>
  <c r="I21" i="13" s="1"/>
  <c r="I155" i="13" s="1"/>
  <c r="M65" i="1"/>
  <c r="N250" i="1"/>
  <c r="H198" i="5" s="1"/>
  <c r="J130" i="1"/>
  <c r="J140" i="1" s="1"/>
  <c r="H19" i="5"/>
  <c r="H21" i="5" s="1"/>
  <c r="J250" i="1"/>
  <c r="M14" i="1"/>
  <c r="M333" i="1"/>
  <c r="M48" i="1"/>
  <c r="J345" i="1"/>
  <c r="J61" i="1"/>
  <c r="M249" i="1"/>
  <c r="I17" i="20"/>
  <c r="I25" i="20"/>
  <c r="I88" i="20"/>
  <c r="I95" i="20" s="1"/>
  <c r="L29" i="1"/>
  <c r="M20" i="1"/>
  <c r="M29" i="1" s="1"/>
  <c r="M108" i="1"/>
  <c r="L130" i="1"/>
  <c r="L60" i="1"/>
  <c r="M33" i="1"/>
  <c r="M130" i="1"/>
  <c r="M321" i="1"/>
  <c r="J66" i="1"/>
  <c r="K60" i="1"/>
  <c r="N66" i="1"/>
  <c r="L321" i="1"/>
  <c r="K29" i="1"/>
  <c r="L108" i="1"/>
  <c r="K108" i="1"/>
  <c r="H25" i="5"/>
  <c r="M558" i="45" l="1"/>
  <c r="M589" i="45" s="1"/>
  <c r="J440" i="1"/>
  <c r="J443" i="1" s="1"/>
  <c r="J165" i="16"/>
  <c r="J182" i="16" s="1"/>
  <c r="J252" i="1"/>
  <c r="I66" i="13"/>
  <c r="I182" i="16"/>
  <c r="H199" i="5"/>
  <c r="H201" i="5" s="1"/>
  <c r="N346" i="1"/>
  <c r="K209" i="16"/>
  <c r="I115" i="13"/>
  <c r="I117" i="13" s="1"/>
  <c r="K204" i="16"/>
  <c r="I204" i="16"/>
  <c r="J209" i="16"/>
  <c r="I30" i="13"/>
  <c r="K346" i="1"/>
  <c r="H149" i="5"/>
  <c r="N140" i="1"/>
  <c r="N141" i="1" s="1"/>
  <c r="H169" i="5"/>
  <c r="H46" i="5"/>
  <c r="J46" i="5" s="1"/>
  <c r="I15" i="13"/>
  <c r="I208" i="13" s="1"/>
  <c r="H174" i="5"/>
  <c r="L345" i="1"/>
  <c r="L346" i="1" s="1"/>
  <c r="M250" i="1"/>
  <c r="I147" i="13"/>
  <c r="J283" i="13" s="1"/>
  <c r="I81" i="13"/>
  <c r="I105" i="13"/>
  <c r="I87" i="13"/>
  <c r="I42" i="13"/>
  <c r="H161" i="5"/>
  <c r="H162" i="5" s="1"/>
  <c r="H179" i="5" s="1"/>
  <c r="I60" i="13"/>
  <c r="I75" i="13"/>
  <c r="I53" i="13"/>
  <c r="I35" i="13"/>
  <c r="J275" i="13"/>
  <c r="J277" i="13" s="1"/>
  <c r="H97" i="5"/>
  <c r="J97" i="5" s="1"/>
  <c r="I93" i="13"/>
  <c r="I99" i="13"/>
  <c r="H79" i="5"/>
  <c r="J79" i="5" s="1"/>
  <c r="K167" i="16"/>
  <c r="I48" i="13"/>
  <c r="I111" i="13"/>
  <c r="K140" i="1"/>
  <c r="K66" i="1"/>
  <c r="J141" i="1"/>
  <c r="M60" i="1"/>
  <c r="M66" i="1" s="1"/>
  <c r="J346" i="1"/>
  <c r="I29" i="20"/>
  <c r="M140" i="1"/>
  <c r="M345" i="1"/>
  <c r="J282" i="13"/>
  <c r="H168" i="5"/>
  <c r="H191" i="5"/>
  <c r="L140" i="1"/>
  <c r="K61" i="1"/>
  <c r="L66" i="1"/>
  <c r="L61" i="1"/>
  <c r="H27" i="5"/>
  <c r="K219" i="16" l="1"/>
  <c r="O760" i="45"/>
  <c r="O762" i="45" s="1"/>
  <c r="O764" i="45" s="1"/>
  <c r="O766" i="45" s="1"/>
  <c r="K440" i="1"/>
  <c r="K443" i="1" s="1"/>
  <c r="J204" i="16"/>
  <c r="H167" i="16"/>
  <c r="H170" i="5"/>
  <c r="J167" i="16"/>
  <c r="K141" i="1"/>
  <c r="I226" i="13"/>
  <c r="K219" i="13"/>
  <c r="I154" i="13"/>
  <c r="I156" i="13" s="1"/>
  <c r="I23" i="13"/>
  <c r="M61" i="1"/>
  <c r="I148" i="13"/>
  <c r="I167" i="13" s="1"/>
  <c r="M346" i="1"/>
  <c r="H192" i="5"/>
  <c r="H194" i="5" s="1"/>
  <c r="N440" i="1"/>
  <c r="H173" i="5"/>
  <c r="H175" i="5" s="1"/>
  <c r="J284" i="13"/>
  <c r="I161" i="13"/>
  <c r="I120" i="13"/>
  <c r="I210" i="13" s="1"/>
  <c r="I212" i="13" s="1"/>
  <c r="H151" i="5"/>
  <c r="H152" i="5" s="1"/>
  <c r="H178" i="5" s="1"/>
  <c r="H180" i="5" s="1"/>
  <c r="M440" i="1"/>
  <c r="M141" i="1"/>
  <c r="L141" i="1"/>
  <c r="L440" i="1"/>
  <c r="L443" i="1" s="1"/>
  <c r="I230" i="13" l="1"/>
  <c r="I219" i="13" s="1"/>
  <c r="I220" i="13" s="1"/>
  <c r="J215" i="16"/>
  <c r="M439" i="1"/>
  <c r="M438" i="1" s="1"/>
  <c r="J219" i="16"/>
  <c r="H215" i="16"/>
  <c r="K439" i="1"/>
  <c r="K438" i="1" s="1"/>
  <c r="H219" i="16"/>
  <c r="K215" i="16"/>
  <c r="N439" i="1"/>
  <c r="N438" i="1" s="1"/>
  <c r="N443" i="1"/>
  <c r="M443" i="1"/>
  <c r="K207" i="16"/>
  <c r="K211" i="16"/>
  <c r="H207" i="16"/>
  <c r="J207" i="16"/>
  <c r="H181" i="5"/>
  <c r="I121" i="13"/>
  <c r="I166" i="13" s="1"/>
  <c r="I168" i="13" s="1"/>
  <c r="I160" i="13"/>
  <c r="I162" i="13" s="1"/>
  <c r="I170" i="13" l="1"/>
  <c r="I167" i="16"/>
  <c r="G167" i="16" l="1"/>
  <c r="J439" i="1" s="1"/>
  <c r="J438" i="1" s="1"/>
  <c r="G219" i="16" l="1"/>
  <c r="G215" i="16"/>
  <c r="I209" i="16" l="1"/>
  <c r="L439" i="1" l="1"/>
  <c r="L438" i="1" s="1"/>
  <c r="I219" i="16"/>
  <c r="I207" i="16"/>
  <c r="I215" i="16"/>
</calcChain>
</file>

<file path=xl/sharedStrings.xml><?xml version="1.0" encoding="utf-8"?>
<sst xmlns="http://schemas.openxmlformats.org/spreadsheetml/2006/main" count="5700" uniqueCount="1748">
  <si>
    <t>GENERAL FUND</t>
  </si>
  <si>
    <t>ACCOUNT</t>
  </si>
  <si>
    <t xml:space="preserve">INCOME </t>
  </si>
  <si>
    <t>PARTICULARS</t>
  </si>
  <si>
    <t>CODE</t>
  </si>
  <si>
    <t>CLASSIFICATION</t>
  </si>
  <si>
    <t>PAST YEAR</t>
  </si>
  <si>
    <t>BUDGET YEAR</t>
  </si>
  <si>
    <t>TOTAL NON-TAX REVENUE</t>
  </si>
  <si>
    <t>TOTAL RECEIPTS</t>
  </si>
  <si>
    <t>MARKET</t>
  </si>
  <si>
    <t>LOCAL FINANCE COMMITTEE:</t>
  </si>
  <si>
    <t>MELBA B. BAGOOD</t>
  </si>
  <si>
    <t>M.P.D.C.</t>
  </si>
  <si>
    <t>Municipal Mayor</t>
  </si>
  <si>
    <t>TOTAL</t>
  </si>
  <si>
    <t>Certified Correct:</t>
  </si>
  <si>
    <t>EMELY S. BADUA</t>
  </si>
  <si>
    <t>Municipal Budget Officer</t>
  </si>
  <si>
    <t>TOTAL EXPENDITURES</t>
  </si>
  <si>
    <t>Unappropriated Balance</t>
  </si>
  <si>
    <t>PROGRAMMED APPROPRIATION AND OBLIGATION BY OBJECT OF EXPENDITURE</t>
  </si>
  <si>
    <t>OBJECT OF EXPENDITURE</t>
  </si>
  <si>
    <t>Municipal Vice Mayor</t>
  </si>
  <si>
    <t>SALUD D. PANIDA</t>
  </si>
  <si>
    <t>EDNA C. PADAYAO</t>
  </si>
  <si>
    <t>JESUS V. PICO</t>
  </si>
  <si>
    <t>TERESA O. MAMALIO</t>
  </si>
  <si>
    <t>1141-2</t>
  </si>
  <si>
    <t>9993-1</t>
  </si>
  <si>
    <t>9993-2</t>
  </si>
  <si>
    <t>9993-3</t>
  </si>
  <si>
    <t>9993-4</t>
  </si>
  <si>
    <t>9993-5</t>
  </si>
  <si>
    <t>1011-1</t>
  </si>
  <si>
    <t>1011-2</t>
  </si>
  <si>
    <t>1011-3</t>
  </si>
  <si>
    <t>1011-5</t>
  </si>
  <si>
    <t>1011-6</t>
  </si>
  <si>
    <t>1011-7</t>
  </si>
  <si>
    <t>1011-8</t>
  </si>
  <si>
    <t>1011-9</t>
  </si>
  <si>
    <t>1011-10</t>
  </si>
  <si>
    <t>GRAND TOTAL</t>
  </si>
  <si>
    <t>Current Year</t>
  </si>
  <si>
    <t>POSITION TITLE</t>
  </si>
  <si>
    <t>NAME OF</t>
  </si>
  <si>
    <t>Increase/</t>
  </si>
  <si>
    <t>INCUMBENT</t>
  </si>
  <si>
    <t>Decrease</t>
  </si>
  <si>
    <t>AMOUNT</t>
  </si>
  <si>
    <t>HEIDEE GANIGAN-CHUA</t>
  </si>
  <si>
    <t>PERSONAL STAFF</t>
  </si>
  <si>
    <t>EMETERIO E. LAROYA</t>
  </si>
  <si>
    <t>15/1</t>
  </si>
  <si>
    <t>Administrative Aide IV</t>
  </si>
  <si>
    <t>ANA D. FRONDA</t>
  </si>
  <si>
    <t>4/1</t>
  </si>
  <si>
    <t>GENERAL SERVICES</t>
  </si>
  <si>
    <t>Administrative Aide III</t>
  </si>
  <si>
    <t>GERARDO M. VELASCO</t>
  </si>
  <si>
    <t>JULIAN M. ILUMIN</t>
  </si>
  <si>
    <t>PRINCESS C. POON</t>
  </si>
  <si>
    <t xml:space="preserve">HUMAN RESOURCE </t>
  </si>
  <si>
    <t>MANAGEMENT OFFICE</t>
  </si>
  <si>
    <t>Administrative Officer II</t>
  </si>
  <si>
    <t>RIZALINA C. AYING</t>
  </si>
  <si>
    <t>11/8</t>
  </si>
  <si>
    <t>Municipal Councilor</t>
  </si>
  <si>
    <t>24/1</t>
  </si>
  <si>
    <t>Municipal Councilor   -</t>
  </si>
  <si>
    <t>ABC PRESIDENT</t>
  </si>
  <si>
    <t>PPSK President</t>
  </si>
  <si>
    <t>Secretary to Sangguniang</t>
  </si>
  <si>
    <t>DIOSDADO C. BALANGA</t>
  </si>
  <si>
    <t>Bayan</t>
  </si>
  <si>
    <t>Librarian I</t>
  </si>
  <si>
    <t>ANALIE D. SOLORIA</t>
  </si>
  <si>
    <t>Administrative Aide VI</t>
  </si>
  <si>
    <t>OLIVIA MARIE B. SALES</t>
  </si>
  <si>
    <t>Municipal Government</t>
  </si>
  <si>
    <t>24/8</t>
  </si>
  <si>
    <t>Draftsman I</t>
  </si>
  <si>
    <t>6/8</t>
  </si>
  <si>
    <t>AMELIA D. DE GUZMAN</t>
  </si>
  <si>
    <t>Assistant Registration</t>
  </si>
  <si>
    <t>BENJAMIN B. GINES, JR.</t>
  </si>
  <si>
    <t>Officer I</t>
  </si>
  <si>
    <t>Statistician Aide</t>
  </si>
  <si>
    <t>GEMMA  P. PERALTA</t>
  </si>
  <si>
    <t>Administrative Assistant II</t>
  </si>
  <si>
    <t>IMELDA T. SISON</t>
  </si>
  <si>
    <t>8/8</t>
  </si>
  <si>
    <t>ROSALIE A. JOVER</t>
  </si>
  <si>
    <t>MICHAEL C. SOLIVEN</t>
  </si>
  <si>
    <t>CASHIERING</t>
  </si>
  <si>
    <t>Administrative Officer III</t>
  </si>
  <si>
    <t>ELMA A. ESPEDIDO</t>
  </si>
  <si>
    <t>TREASURY SERVICES</t>
  </si>
  <si>
    <t>Local Revenue Collection</t>
  </si>
  <si>
    <t>Revenue Collection Clerk II</t>
  </si>
  <si>
    <t>GLORIA C. RANICO</t>
  </si>
  <si>
    <t>BOBBY C. VELASCO</t>
  </si>
  <si>
    <t>Revenue Collection Clerk I</t>
  </si>
  <si>
    <t>CRISMAN O. OLIVAS</t>
  </si>
  <si>
    <t>ROBERT P. MALAYO</t>
  </si>
  <si>
    <t>Local Assessment Operations</t>
  </si>
  <si>
    <t>VACANT</t>
  </si>
  <si>
    <t>Assessment Clerk II</t>
  </si>
  <si>
    <t>Assessment Clerk I</t>
  </si>
  <si>
    <t>Tax Mapping Aide</t>
  </si>
  <si>
    <t>NELSON P. SARMIENTO</t>
  </si>
  <si>
    <t>4/2</t>
  </si>
  <si>
    <t>ROGELIO P. LOPEZ</t>
  </si>
  <si>
    <t>24/6</t>
  </si>
  <si>
    <t>Social Welfare Assistant</t>
  </si>
  <si>
    <t>Agricultural Technologist</t>
  </si>
  <si>
    <t>MINERVA L. ROSAS</t>
  </si>
  <si>
    <t>NENA P. BAUTISTA</t>
  </si>
  <si>
    <t>ANTONIO S. SOLIVEN, JR.</t>
  </si>
  <si>
    <t>RONNIE S. TOMAS</t>
  </si>
  <si>
    <t>Dentist II</t>
  </si>
  <si>
    <t>AURELIA D. VELASCO</t>
  </si>
  <si>
    <t>Nurse III</t>
  </si>
  <si>
    <t>NITA L. ROMERO</t>
  </si>
  <si>
    <t>CLEOFE A. GANTE</t>
  </si>
  <si>
    <t>4/8</t>
  </si>
  <si>
    <t>Midwife III</t>
  </si>
  <si>
    <t>MARILOU O. TORIO</t>
  </si>
  <si>
    <t>JULIE A. PERALTA</t>
  </si>
  <si>
    <t>Midwife II</t>
  </si>
  <si>
    <t>CLARITA P. OGANIZA</t>
  </si>
  <si>
    <t>VICTORIA G. BALANGA</t>
  </si>
  <si>
    <t>Nursemaid I</t>
  </si>
  <si>
    <t>SHARON M. BUGARIN</t>
  </si>
  <si>
    <t>Medical Technologist</t>
  </si>
  <si>
    <t>KAREN KAROLYNE V. GARCIA</t>
  </si>
  <si>
    <t>11/2</t>
  </si>
  <si>
    <t>Nurse II</t>
  </si>
  <si>
    <t>ZENAIDA G. GAMEZ</t>
  </si>
  <si>
    <t>LOURDES R. PADILLA</t>
  </si>
  <si>
    <t>11/3</t>
  </si>
  <si>
    <t>MERCEDITA R. LOPEZ</t>
  </si>
  <si>
    <t>Market Supervisor I</t>
  </si>
  <si>
    <t>10/1</t>
  </si>
  <si>
    <t>Market Inspector II</t>
  </si>
  <si>
    <t>VALENTINO E. GARCIA</t>
  </si>
  <si>
    <t>License Inspector I</t>
  </si>
  <si>
    <t>Meat Inspector I</t>
  </si>
  <si>
    <t>Administrative Aide I</t>
  </si>
  <si>
    <t>ORLANDO C. ANGELO</t>
  </si>
  <si>
    <t>ARNOLD C. BUSTILLOS</t>
  </si>
  <si>
    <t>1/3</t>
  </si>
  <si>
    <t>Laborer I</t>
  </si>
  <si>
    <t>1/2</t>
  </si>
  <si>
    <t>ESTELA L. PASCUA</t>
  </si>
  <si>
    <t>ROMMEL M. PISO</t>
  </si>
  <si>
    <t>1/1</t>
  </si>
  <si>
    <t>LANIE R. CARDENAS</t>
  </si>
  <si>
    <t>Cemetery Caretaker</t>
  </si>
  <si>
    <t>EDUARDO E. RIPA</t>
  </si>
  <si>
    <t>2/8</t>
  </si>
  <si>
    <t>Sub-Total</t>
  </si>
  <si>
    <t>Market Supervisor III</t>
  </si>
  <si>
    <t>ALEJANDRO S. TORIO</t>
  </si>
  <si>
    <t>Driver I</t>
  </si>
  <si>
    <t>JOHN Q. SOLIVEN</t>
  </si>
  <si>
    <t>EDGAR M. PEREZ</t>
  </si>
  <si>
    <t>8/1</t>
  </si>
  <si>
    <t>Sub-Total (Market)</t>
  </si>
  <si>
    <t>Amount Due</t>
  </si>
  <si>
    <t>Creditor</t>
  </si>
  <si>
    <t>Term</t>
  </si>
  <si>
    <t>Principal</t>
  </si>
  <si>
    <t>(Budget Year)</t>
  </si>
  <si>
    <t>Contracted</t>
  </si>
  <si>
    <t>Amount</t>
  </si>
  <si>
    <t>Interest</t>
  </si>
  <si>
    <t>Total</t>
  </si>
  <si>
    <t>NONE</t>
  </si>
  <si>
    <t xml:space="preserve"> </t>
  </si>
  <si>
    <t>Republic of the Philippines</t>
  </si>
  <si>
    <t>MUNICIPALITY OF ASINGAN</t>
  </si>
  <si>
    <t>Pangasinan</t>
  </si>
  <si>
    <t>OFFICE OF THE MUNICIPAL BUDGET OFFICER</t>
  </si>
  <si>
    <t>Section</t>
  </si>
  <si>
    <t>I</t>
  </si>
  <si>
    <t>ESTIMATED INCOME</t>
  </si>
  <si>
    <t>General Fund Proper</t>
  </si>
  <si>
    <t>1. Tax Revenue</t>
  </si>
  <si>
    <t>2. Non-Tax Revenue</t>
  </si>
  <si>
    <t>3. Internal Revenue Allotment</t>
  </si>
  <si>
    <t>TOTAL ESTIMATED INCOME</t>
  </si>
  <si>
    <t>Operation of Economic Enterprise</t>
  </si>
  <si>
    <t>1.  Tax Revenue</t>
  </si>
  <si>
    <t>2.  Non-Tax Revenue</t>
  </si>
  <si>
    <t>II</t>
  </si>
  <si>
    <t>APPROPRIATION</t>
  </si>
  <si>
    <t>1.   General Fund Proper</t>
  </si>
  <si>
    <t xml:space="preserve">          1.1   PERSONAL SERVICES:</t>
  </si>
  <si>
    <t xml:space="preserve">       Office of the Municipal Mayor</t>
  </si>
  <si>
    <t xml:space="preserve">       Office of the Sangguniang Bayan</t>
  </si>
  <si>
    <t xml:space="preserve">       Office of the M.P.D.C.</t>
  </si>
  <si>
    <t xml:space="preserve">       Office of the Mun. Civil Registrar</t>
  </si>
  <si>
    <t xml:space="preserve">       Office of the Mun. Budget Officer</t>
  </si>
  <si>
    <t xml:space="preserve">       Office of the Municipal Accountant</t>
  </si>
  <si>
    <t xml:space="preserve">       Office of the Municipal Treasurer</t>
  </si>
  <si>
    <t xml:space="preserve">       Ofice of the Municipal Assessor</t>
  </si>
  <si>
    <t xml:space="preserve">       Office of the Municiapl Engineer</t>
  </si>
  <si>
    <t xml:space="preserve">       Office of the M.S.W.D.O.</t>
  </si>
  <si>
    <t xml:space="preserve">       Office of the Municipal Agriculturist</t>
  </si>
  <si>
    <t xml:space="preserve">       Municipal Health Unit I</t>
  </si>
  <si>
    <t xml:space="preserve">       Municipal Health Unit II</t>
  </si>
  <si>
    <t xml:space="preserve">          1.2  MAINTENANCE &amp; OTHER OPERATING EXPENDITURES:</t>
  </si>
  <si>
    <t xml:space="preserve">          1.3  CAPITAL OUTLAY:</t>
  </si>
  <si>
    <t xml:space="preserve">       Office of the Municipal Social Welfare Development Office</t>
  </si>
  <si>
    <t xml:space="preserve">          1.4  Non-Office Expenditures</t>
  </si>
  <si>
    <t xml:space="preserve">      Inter-Gov't Aids</t>
  </si>
  <si>
    <t>2.   Operation of Economic Enterprise</t>
  </si>
  <si>
    <t xml:space="preserve">     Personal Services</t>
  </si>
  <si>
    <t xml:space="preserve">     Maintenance &amp; Other Operating Expenditures</t>
  </si>
  <si>
    <t xml:space="preserve">     Capital Outlay</t>
  </si>
  <si>
    <t xml:space="preserve">     General Fund Proper</t>
  </si>
  <si>
    <t xml:space="preserve">     Operation of Economic Enterprise</t>
  </si>
  <si>
    <t>Unappropriated Balances:</t>
  </si>
  <si>
    <t>24/2</t>
  </si>
  <si>
    <t>1/8</t>
  </si>
  <si>
    <t>1011-11</t>
  </si>
  <si>
    <t>1011-12</t>
  </si>
  <si>
    <t>1011-15</t>
  </si>
  <si>
    <t>3/8</t>
  </si>
  <si>
    <t>1/5</t>
  </si>
  <si>
    <t>MARIBEL Y. DAMASCO</t>
  </si>
  <si>
    <t>Income:</t>
  </si>
  <si>
    <t>Appropriation</t>
  </si>
  <si>
    <t xml:space="preserve">        TOTAL INCOME</t>
  </si>
  <si>
    <t xml:space="preserve">       TOTAL APPROPRIATION</t>
  </si>
  <si>
    <t xml:space="preserve">        TOTAL</t>
  </si>
  <si>
    <t>TOTAL NON-OFFICE EXPENDITURES</t>
  </si>
  <si>
    <t xml:space="preserve">        TOTAL APPROPRIATION (General Fund Proper)</t>
  </si>
  <si>
    <t xml:space="preserve">      TOTAL APPROPRIATION (Economic Enterprise)</t>
  </si>
  <si>
    <t>Section III</t>
  </si>
  <si>
    <t>RECAPITULIZATION</t>
  </si>
  <si>
    <t xml:space="preserve">            TOTAL PERSONAL SERVICES</t>
  </si>
  <si>
    <t xml:space="preserve">            TOTAL MOOE</t>
  </si>
  <si>
    <t xml:space="preserve">            TOTAL CAPITAL OUTLAY</t>
  </si>
  <si>
    <t xml:space="preserve">       Unappropriated Balance</t>
  </si>
  <si>
    <t>MARJORIE V. TINTE</t>
  </si>
  <si>
    <t>Municipal Accountant</t>
  </si>
  <si>
    <t>6/1</t>
  </si>
  <si>
    <t>4/3</t>
  </si>
  <si>
    <t>ATHENA IRA G. CHUA</t>
  </si>
  <si>
    <t>3/1</t>
  </si>
  <si>
    <t>MYRNA LUISA M. ALIPIO</t>
  </si>
  <si>
    <t>24/3</t>
  </si>
  <si>
    <t>MA. JONABEL I. GIDAYAO</t>
  </si>
  <si>
    <t>EMELINDA P. RAMIREZ</t>
  </si>
  <si>
    <t>3/3</t>
  </si>
  <si>
    <t>Local Disaster Risk Reduction</t>
  </si>
  <si>
    <t>Management Officer III</t>
  </si>
  <si>
    <t>ENGR. EMETERIO E. LAROYA</t>
  </si>
  <si>
    <t>Grand Total</t>
  </si>
  <si>
    <t>Engineer I</t>
  </si>
  <si>
    <t>12/1</t>
  </si>
  <si>
    <t>Approved:</t>
  </si>
  <si>
    <t xml:space="preserve">       Office of the LDRRMO</t>
  </si>
  <si>
    <t xml:space="preserve">       Office of the Municipal Engineer</t>
  </si>
  <si>
    <t>1011-16</t>
  </si>
  <si>
    <t>1011-17</t>
  </si>
  <si>
    <t>MARY GRACE F. TAWAGEN</t>
  </si>
  <si>
    <t xml:space="preserve">      Local Disaster Risk Reduction &amp; Management Fund</t>
  </si>
  <si>
    <t xml:space="preserve">     Local Disaster Risk Reduction &amp; Management Fund</t>
  </si>
  <si>
    <t>1011-18</t>
  </si>
  <si>
    <t>1141-1</t>
  </si>
  <si>
    <t>General Fund</t>
  </si>
  <si>
    <t>Total Estimated Income</t>
  </si>
  <si>
    <t>Less: Appropriation</t>
  </si>
  <si>
    <t>5% LDRRMF</t>
  </si>
  <si>
    <t>Market</t>
  </si>
  <si>
    <t>-</t>
  </si>
  <si>
    <t>4411-1</t>
  </si>
  <si>
    <t>4411-2</t>
  </si>
  <si>
    <t>TOTAL MOOE</t>
  </si>
  <si>
    <t>PS</t>
  </si>
  <si>
    <t>MOOE</t>
  </si>
  <si>
    <t>CO</t>
  </si>
  <si>
    <t>MARINA C. PASCUAL</t>
  </si>
  <si>
    <t>JANETTE E. PITA</t>
  </si>
  <si>
    <t>RUBIE JEAN R. PICO</t>
  </si>
  <si>
    <t>MYLA V. DE GUZMAN</t>
  </si>
  <si>
    <t>DOMINIC R. TARANGCO</t>
  </si>
  <si>
    <t>CATHERINE C. MERCADO</t>
  </si>
  <si>
    <t>SECTION 1</t>
  </si>
  <si>
    <t>A.</t>
  </si>
  <si>
    <t>Tax Revenue</t>
  </si>
  <si>
    <t>Share from Internal Revenue Allotment</t>
  </si>
  <si>
    <t>Total Available Resources</t>
  </si>
  <si>
    <t>Non-Tax Revenue</t>
  </si>
  <si>
    <t>SECTION 2</t>
  </si>
  <si>
    <t>Office of the Municipal Mayor</t>
  </si>
  <si>
    <t>1.</t>
  </si>
  <si>
    <t>Personal Services</t>
  </si>
  <si>
    <t>Capital Outlay</t>
  </si>
  <si>
    <t>2.</t>
  </si>
  <si>
    <t>3.</t>
  </si>
  <si>
    <t>Office of the Sangguniang Bayan</t>
  </si>
  <si>
    <t>Office of the MPDC</t>
  </si>
  <si>
    <t>4.</t>
  </si>
  <si>
    <t>5.</t>
  </si>
  <si>
    <t>6.</t>
  </si>
  <si>
    <t>7.</t>
  </si>
  <si>
    <t>8.</t>
  </si>
  <si>
    <t>9.</t>
  </si>
  <si>
    <t>10.</t>
  </si>
  <si>
    <t>11.</t>
  </si>
  <si>
    <t>12.</t>
  </si>
  <si>
    <t>13.</t>
  </si>
  <si>
    <t>14.</t>
  </si>
  <si>
    <t>Office of the Civil Registrar</t>
  </si>
  <si>
    <t>Office of the Municipal Budget Officer</t>
  </si>
  <si>
    <t>Office of the Municipal Accountant</t>
  </si>
  <si>
    <t>Office of the Municipal Treasurer</t>
  </si>
  <si>
    <t>Office of the Municipal Assessor</t>
  </si>
  <si>
    <t>Office of the Municipal Engineer</t>
  </si>
  <si>
    <t>Office of the M.S.W.D.O.</t>
  </si>
  <si>
    <t>Office of the Municipal Agriculturist</t>
  </si>
  <si>
    <t>Office of the Municipal Health Unit I</t>
  </si>
  <si>
    <t>Office of the Municipal Health Unit II</t>
  </si>
  <si>
    <t>15.</t>
  </si>
  <si>
    <t>Office of the LDRRMO</t>
  </si>
  <si>
    <t>Non-Office Expenditures</t>
  </si>
  <si>
    <t>Inter-Government Aids</t>
  </si>
  <si>
    <t>Maintenance &amp; Other Operating Expenses</t>
  </si>
  <si>
    <t>Local Disaster Risk Reduction Management Fund</t>
  </si>
  <si>
    <t xml:space="preserve">                  TOTAL APPROPRIATION (General Fund Proper)</t>
  </si>
  <si>
    <t xml:space="preserve">                   Unappropriated Balance</t>
  </si>
  <si>
    <t>B.</t>
  </si>
  <si>
    <t>Operation of Economic Enterprises</t>
  </si>
  <si>
    <t xml:space="preserve">                  TOTAL APPROPRIATION (Economic Enterprise)</t>
  </si>
  <si>
    <t>SECTION 3. RECAPITULIZATION</t>
  </si>
  <si>
    <t xml:space="preserve">         General Fund Proper</t>
  </si>
  <si>
    <t xml:space="preserve">         Operation of Economic Enterprises</t>
  </si>
  <si>
    <t xml:space="preserve">         Total Amount Available for Appropriations</t>
  </si>
  <si>
    <t>Total Appropriations</t>
  </si>
  <si>
    <t xml:space="preserve">         Total </t>
  </si>
  <si>
    <t xml:space="preserve">         Unappropriated Balances:</t>
  </si>
  <si>
    <t>SECTION 4</t>
  </si>
  <si>
    <t>a.</t>
  </si>
  <si>
    <t>b.</t>
  </si>
  <si>
    <t>c.</t>
  </si>
  <si>
    <t>d.</t>
  </si>
  <si>
    <t>e.</t>
  </si>
  <si>
    <t>f.</t>
  </si>
  <si>
    <t>g.</t>
  </si>
  <si>
    <t>h.</t>
  </si>
  <si>
    <t>Local Budget Prep. Form 1</t>
  </si>
  <si>
    <t>Local Budget Prep. Form 2</t>
  </si>
  <si>
    <t>Local Budget Prep. Form 3</t>
  </si>
  <si>
    <t>Local Budget Prep. Form 4</t>
  </si>
  <si>
    <t>Local Budget Prep. Form 5</t>
  </si>
  <si>
    <t>Local Budget Prep. Form 6</t>
  </si>
  <si>
    <t>Local Budget Prep. Form 7</t>
  </si>
  <si>
    <t>Personnel Schedule</t>
  </si>
  <si>
    <t>Obligations &amp; Budgetary Requirements</t>
  </si>
  <si>
    <t>ASINGAN, PANGASINAN</t>
  </si>
  <si>
    <t>Total Estimated Income-General Fund</t>
  </si>
  <si>
    <t>Less: Total Appropriation</t>
  </si>
  <si>
    <t>x 45%</t>
  </si>
  <si>
    <t>Still Allowable PS Appropriation</t>
  </si>
  <si>
    <t>Note:</t>
  </si>
  <si>
    <t>Total P.S.</t>
  </si>
  <si>
    <t>Total P.S. Subject to 45% PS Limitation</t>
  </si>
  <si>
    <t>PERSONAL SERVICES</t>
  </si>
  <si>
    <t>Overtime Pay</t>
  </si>
  <si>
    <t>Cash Gift</t>
  </si>
  <si>
    <t>Pag-ibig Contributions</t>
  </si>
  <si>
    <t>Philhealth Contributions</t>
  </si>
  <si>
    <t>TOTAL PERSONAL SERVICES</t>
  </si>
  <si>
    <t>Terminal Leave Benefits</t>
  </si>
  <si>
    <t>MAINTENANCE &amp; OTHER OPERATING EXPENSES</t>
  </si>
  <si>
    <t>Travelling Expenses</t>
  </si>
  <si>
    <t>Insurance Expenses</t>
  </si>
  <si>
    <t>General Services</t>
  </si>
  <si>
    <t>Electricity Expenses</t>
  </si>
  <si>
    <t>Office Supplies Expenses</t>
  </si>
  <si>
    <t>CAPITAL OUTLAY</t>
  </si>
  <si>
    <t>TOTAL APPROPRIATION</t>
  </si>
  <si>
    <t>Dental Aide</t>
  </si>
  <si>
    <t>ESTHER S. AGUILAR</t>
  </si>
  <si>
    <t>MARK E. ABELLA</t>
  </si>
  <si>
    <t>-751</t>
  </si>
  <si>
    <t>-753</t>
  </si>
  <si>
    <t>-759</t>
  </si>
  <si>
    <t>-755</t>
  </si>
  <si>
    <t>-773</t>
  </si>
  <si>
    <t>-850</t>
  </si>
  <si>
    <t>-969</t>
  </si>
  <si>
    <t>8/2</t>
  </si>
  <si>
    <t>17/6</t>
  </si>
  <si>
    <t>11/1</t>
  </si>
  <si>
    <t>13/8</t>
  </si>
  <si>
    <t>10/2</t>
  </si>
  <si>
    <t>1/6</t>
  </si>
  <si>
    <t>-749</t>
  </si>
  <si>
    <t>-760</t>
  </si>
  <si>
    <t>-705</t>
  </si>
  <si>
    <t>9997-1</t>
  </si>
  <si>
    <t>9997-2</t>
  </si>
  <si>
    <t>9997-3</t>
  </si>
  <si>
    <t>9997-4</t>
  </si>
  <si>
    <t>9997-5</t>
  </si>
  <si>
    <t>9997-6</t>
  </si>
  <si>
    <t>9997-7</t>
  </si>
  <si>
    <t>9997-8</t>
  </si>
  <si>
    <t>9997-9</t>
  </si>
  <si>
    <t>9997-10</t>
  </si>
  <si>
    <t>9999-3</t>
  </si>
  <si>
    <t>9999-2</t>
  </si>
  <si>
    <t>9999-3a</t>
  </si>
  <si>
    <t>9999-3b</t>
  </si>
  <si>
    <t>9999-3c</t>
  </si>
  <si>
    <t>9999-3d</t>
  </si>
  <si>
    <t>9999-4</t>
  </si>
  <si>
    <t>1011-4</t>
  </si>
  <si>
    <t>1011-13</t>
  </si>
  <si>
    <t>1011-14</t>
  </si>
  <si>
    <t>5% LDRRM Fund</t>
  </si>
  <si>
    <t>Sanitary Inspector I</t>
  </si>
  <si>
    <t>Social Welfare Officer I</t>
  </si>
  <si>
    <t>Less:</t>
  </si>
  <si>
    <t>Physical Therapist I</t>
  </si>
  <si>
    <t>HANSON P. PARAGAS</t>
  </si>
  <si>
    <t>EMRI B. CASTILLO</t>
  </si>
  <si>
    <t>CATHERINE M. DE GUZMAN</t>
  </si>
  <si>
    <t>TOTAL PS_TERMINAL LEAVE BENEFITS</t>
  </si>
  <si>
    <t>Salaries &amp; Wages-Casual</t>
  </si>
  <si>
    <t>Training Expenses</t>
  </si>
  <si>
    <t>Administrative Officer IV</t>
  </si>
  <si>
    <t>Sr. Administrative Assistant III</t>
  </si>
  <si>
    <t>ERNESTO D. PASCUAL</t>
  </si>
  <si>
    <t>-719</t>
  </si>
  <si>
    <t>15/2</t>
  </si>
  <si>
    <t>3/2</t>
  </si>
  <si>
    <t>MEL F. LOPEZ</t>
  </si>
  <si>
    <t>MARIVIC S. ROBENIOL</t>
  </si>
  <si>
    <t>MELCHOR G. CARDINEZ</t>
  </si>
  <si>
    <t>6/2</t>
  </si>
  <si>
    <t>JOVANNIE G. DIAZ</t>
  </si>
  <si>
    <t>7/2</t>
  </si>
  <si>
    <t>5/2</t>
  </si>
  <si>
    <t>11/5</t>
  </si>
  <si>
    <t>BERNARDO T. RELVERIA, JR.</t>
  </si>
  <si>
    <t>Program</t>
  </si>
  <si>
    <t>Office/Department</t>
  </si>
  <si>
    <t>Project/Activity</t>
  </si>
  <si>
    <t>:</t>
  </si>
  <si>
    <t>General Supervision</t>
  </si>
  <si>
    <t xml:space="preserve">Office/Department </t>
  </si>
  <si>
    <t xml:space="preserve">Program               </t>
  </si>
  <si>
    <t xml:space="preserve">Project/Activity      </t>
  </si>
  <si>
    <t>Legislative Services</t>
  </si>
  <si>
    <t>Municipal Law Making Body</t>
  </si>
  <si>
    <t xml:space="preserve">Project/Activity     </t>
  </si>
  <si>
    <t>Office of the M.P.D.C.</t>
  </si>
  <si>
    <t>Planning &amp; Programming</t>
  </si>
  <si>
    <t xml:space="preserve">Program              </t>
  </si>
  <si>
    <t xml:space="preserve">Project/Activity   </t>
  </si>
  <si>
    <t>Office of the Municipal Civil Registrar</t>
  </si>
  <si>
    <t>Civil Registry</t>
  </si>
  <si>
    <t>Civil registration of the municipality</t>
  </si>
  <si>
    <t xml:space="preserve">Office/Department  </t>
  </si>
  <si>
    <t>Budgeting Services</t>
  </si>
  <si>
    <t xml:space="preserve">Project/Activity    </t>
  </si>
  <si>
    <t>Accounting Services</t>
  </si>
  <si>
    <t>Treasury Services</t>
  </si>
  <si>
    <t>Collection of all local taxes</t>
  </si>
  <si>
    <t>Assessment Services</t>
  </si>
  <si>
    <t>Engineering Services</t>
  </si>
  <si>
    <t>Social Services</t>
  </si>
  <si>
    <t>Agricultural Services</t>
  </si>
  <si>
    <t xml:space="preserve">Program             </t>
  </si>
  <si>
    <t>Health Services</t>
  </si>
  <si>
    <t>Office of the Municipal Health Officer I</t>
  </si>
  <si>
    <t>Office of the Municipal Health Officer II</t>
  </si>
  <si>
    <t>Economic Enterprise Management-MARKET</t>
  </si>
  <si>
    <t>Market Supervision</t>
  </si>
  <si>
    <t xml:space="preserve">Project/Activity       </t>
  </si>
  <si>
    <t>Office of the Local Disaster Risk Reduction Management Officer</t>
  </si>
  <si>
    <t>Local Disaster Risk Reduction Management Services</t>
  </si>
  <si>
    <t>Responsible for setting the direction, development, implementation and coordination of disaster risk reduction</t>
  </si>
  <si>
    <t>I.</t>
  </si>
  <si>
    <t>BEGINNING CASH BALANCE</t>
  </si>
  <si>
    <t>II.</t>
  </si>
  <si>
    <t>RECEIPTS</t>
  </si>
  <si>
    <t>a. Real Property Tax (RPT)</t>
  </si>
  <si>
    <t>TOTAL TAX REVENUE</t>
  </si>
  <si>
    <t>a. Regulatory Fees</t>
  </si>
  <si>
    <t>1. Registration Fees</t>
  </si>
  <si>
    <t>Registration on Civil Status</t>
  </si>
  <si>
    <t>Marriage Fees</t>
  </si>
  <si>
    <t>Registration of Large Cattle</t>
  </si>
  <si>
    <t>2. Inspection Fees</t>
  </si>
  <si>
    <t>3. Clearance and Certification Fee</t>
  </si>
  <si>
    <t>Zoning Clearance</t>
  </si>
  <si>
    <t>Police Clearance</t>
  </si>
  <si>
    <t>Locational Clearance</t>
  </si>
  <si>
    <t>4. Permit Fees</t>
  </si>
  <si>
    <t>Mayor's Permit Fees</t>
  </si>
  <si>
    <t>Building Permit Fees</t>
  </si>
  <si>
    <t>Burial Permit Fees</t>
  </si>
  <si>
    <t>Electrical Permit Fees</t>
  </si>
  <si>
    <t>5. Occupation Fees</t>
  </si>
  <si>
    <t>6. Other Fees</t>
  </si>
  <si>
    <t>Sponsors Fee</t>
  </si>
  <si>
    <t>Cemetery Fee</t>
  </si>
  <si>
    <t>Exhumation Fee</t>
  </si>
  <si>
    <t>b. Business and Service Income</t>
  </si>
  <si>
    <t>1. Rent/Lease Income</t>
  </si>
  <si>
    <t>Sports Center/ATRC</t>
  </si>
  <si>
    <t>2. Parking Fee</t>
  </si>
  <si>
    <t>3. Medical, Dental and Laboratory Fees</t>
  </si>
  <si>
    <t>4. Interest Income</t>
  </si>
  <si>
    <t>5. Service Income</t>
  </si>
  <si>
    <t>6. Fines &amp; Penalties</t>
  </si>
  <si>
    <t>TOTAL LOCAL SOURCES</t>
  </si>
  <si>
    <t>A. LOCAL SOURCES</t>
  </si>
  <si>
    <t>B. EXTERNAL SOURCES</t>
  </si>
  <si>
    <t>1. Internal Revenue Allotment</t>
  </si>
  <si>
    <t>2. Share from Tobacco Excise Tax</t>
  </si>
  <si>
    <t>TOTAL EXTERNAL SOURCES</t>
  </si>
  <si>
    <t>III.</t>
  </si>
  <si>
    <t>EXPENDITURES</t>
  </si>
  <si>
    <t>Salaries &amp; Wages</t>
  </si>
  <si>
    <t>Salaries &amp; Wages-Regular</t>
  </si>
  <si>
    <t>Other Compensation</t>
  </si>
  <si>
    <t>Personal Economic Relief Allowance (PERA)</t>
  </si>
  <si>
    <t>Previous Year</t>
  </si>
  <si>
    <t>Penalty</t>
  </si>
  <si>
    <t>b. Other Local Tax</t>
  </si>
  <si>
    <t>Amusement Tax</t>
  </si>
  <si>
    <t>Franchise Tax</t>
  </si>
  <si>
    <t>Motor Vehicle Tax</t>
  </si>
  <si>
    <t xml:space="preserve">Tax on Sand, Gravel and Other </t>
  </si>
  <si>
    <t>Quarry Products</t>
  </si>
  <si>
    <t>Community Tax</t>
  </si>
  <si>
    <t>Transportation Allowance (TA)</t>
  </si>
  <si>
    <t>Representation Allowance (RA)</t>
  </si>
  <si>
    <t>Clothing/Uniform Allowance</t>
  </si>
  <si>
    <t>Subsistence, Laundry and Quarter Allowance</t>
  </si>
  <si>
    <t>Other Bonuses and Allowances (Loyalty Bonus)</t>
  </si>
  <si>
    <t>Other Bonuses and Allowances (Anniversary Bonus)</t>
  </si>
  <si>
    <t>Hazard Pay</t>
  </si>
  <si>
    <t xml:space="preserve">Cash Gift </t>
  </si>
  <si>
    <t>Year End Bonus</t>
  </si>
  <si>
    <t>PAG-IBIG Contributions</t>
  </si>
  <si>
    <t>PHILHEALTH Contributions</t>
  </si>
  <si>
    <t>Health Workers Benefits (Medico-legal allowance)</t>
  </si>
  <si>
    <t>Monetization of Leave Credits</t>
  </si>
  <si>
    <t xml:space="preserve">MAINTENANCE AND OTHER OPERATING EXPENSES </t>
  </si>
  <si>
    <t>Traveling Expenses</t>
  </si>
  <si>
    <t>Accountable Forms Expenses</t>
  </si>
  <si>
    <t>Drugs and Medicines Expenses</t>
  </si>
  <si>
    <t>Medical, Dental &amp; Laboratory Supplies Expenses</t>
  </si>
  <si>
    <t>Postage &amp; Deliveries</t>
  </si>
  <si>
    <t>Telephone Expenses</t>
  </si>
  <si>
    <t>Telephone Expenses (Moblie)</t>
  </si>
  <si>
    <t>Advertising Expenses</t>
  </si>
  <si>
    <t>Representation Expenses</t>
  </si>
  <si>
    <t>Maintenance of Motor Vehicle</t>
  </si>
  <si>
    <t>Discretionary Fund</t>
  </si>
  <si>
    <t>Extra-Ordinary &amp; Miscellaneous Expenses</t>
  </si>
  <si>
    <t>Fidelity Bond Premiums</t>
  </si>
  <si>
    <t>Other Maintenance &amp; Operating Expenses</t>
  </si>
  <si>
    <t>CAPITAL OUTLAYS</t>
  </si>
  <si>
    <t>SPECIAL PURPOSE APPROPRIATIONS (SPAs)</t>
  </si>
  <si>
    <t>20% Development Fund</t>
  </si>
  <si>
    <t>Aid to Barangays</t>
  </si>
  <si>
    <t>Other Authorized SPAs</t>
  </si>
  <si>
    <t>IV. ENDING  BALANCE</t>
  </si>
  <si>
    <t>(ACTUAL)</t>
  </si>
  <si>
    <t>First Semester</t>
  </si>
  <si>
    <t>Second Semester</t>
  </si>
  <si>
    <t>(ESTIMATE)</t>
  </si>
  <si>
    <t>BUDGET OF EXPENDITURES AND SOURCES OF FINANCING</t>
  </si>
  <si>
    <t>(PROPOSED)</t>
  </si>
  <si>
    <t>We hereby certify that the information presented above are true and correct. We further certify that the foregoing estimated receipts are reasonably projected as collectible for the Budget Year.</t>
  </si>
  <si>
    <t xml:space="preserve">Other Local Taxes </t>
  </si>
  <si>
    <t>Business Tax</t>
  </si>
  <si>
    <t>Fines and Penalties</t>
  </si>
  <si>
    <t>Inspection Fees</t>
  </si>
  <si>
    <t>1. Inspection Fees</t>
  </si>
  <si>
    <t>2. Permit Fees (Mayor)</t>
  </si>
  <si>
    <t>3. Fees on Weights and Measures</t>
  </si>
  <si>
    <t>1. Medical Fees</t>
  </si>
  <si>
    <t>2. Market and Slaughterhouse Fees</t>
  </si>
  <si>
    <t>3. Ante-Post Mortem</t>
  </si>
  <si>
    <t>4. Garbage Fees</t>
  </si>
  <si>
    <t>5. Income from Economic Enterprise</t>
  </si>
  <si>
    <t>Stall Rental</t>
  </si>
  <si>
    <t>Cash Tickets</t>
  </si>
  <si>
    <t>Electric Bill</t>
  </si>
  <si>
    <t>Goodwill</t>
  </si>
  <si>
    <t>7. Miscellaneous Income</t>
  </si>
  <si>
    <t>-701</t>
  </si>
  <si>
    <t>-711</t>
  </si>
  <si>
    <t>-713</t>
  </si>
  <si>
    <t>-714</t>
  </si>
  <si>
    <t>-715</t>
  </si>
  <si>
    <t>-716</t>
  </si>
  <si>
    <t>-717</t>
  </si>
  <si>
    <t>-721</t>
  </si>
  <si>
    <t>-723</t>
  </si>
  <si>
    <t>-724</t>
  </si>
  <si>
    <t>-725</t>
  </si>
  <si>
    <t>-731</t>
  </si>
  <si>
    <t>-732</t>
  </si>
  <si>
    <t>-733</t>
  </si>
  <si>
    <t>-734</t>
  </si>
  <si>
    <t>-742</t>
  </si>
  <si>
    <t>-743</t>
  </si>
  <si>
    <t>-756</t>
  </si>
  <si>
    <t>-761</t>
  </si>
  <si>
    <t>-771</t>
  </si>
  <si>
    <t>-772</t>
  </si>
  <si>
    <t>-780</t>
  </si>
  <si>
    <t>-783</t>
  </si>
  <si>
    <t>-841</t>
  </si>
  <si>
    <t>-883</t>
  </si>
  <si>
    <t>-884</t>
  </si>
  <si>
    <t>-892</t>
  </si>
  <si>
    <t>-767</t>
  </si>
  <si>
    <t>-795</t>
  </si>
  <si>
    <t>-893</t>
  </si>
  <si>
    <t>CURRENT YEAR (ESTIMATE)</t>
  </si>
  <si>
    <t>ACCOUNT CODE</t>
  </si>
  <si>
    <t>TOTAL APPROPRIATIONS</t>
  </si>
  <si>
    <t>Prepared:</t>
  </si>
  <si>
    <t>Reviewed:</t>
  </si>
  <si>
    <t>PROGRAMMED APPROPRIATION AND OBLIGATION FOR SPECIAL PURPOSE APPROPRIATIONS</t>
  </si>
  <si>
    <t>SECTOR</t>
  </si>
  <si>
    <t>PROGRAM/PROJECT/ACTIVITY</t>
  </si>
  <si>
    <t xml:space="preserve">CURRENT YEAR </t>
  </si>
  <si>
    <t>Item Number</t>
  </si>
  <si>
    <t>Old</t>
  </si>
  <si>
    <t>New</t>
  </si>
  <si>
    <t>SG/STEP</t>
  </si>
  <si>
    <t>Budget Year Proposed</t>
  </si>
  <si>
    <t>7</t>
  </si>
  <si>
    <t>Program/Project/Activity</t>
  </si>
  <si>
    <t>Description</t>
  </si>
  <si>
    <t>Major Final Output</t>
  </si>
  <si>
    <t>Performance/Output</t>
  </si>
  <si>
    <t>Indicator</t>
  </si>
  <si>
    <t>STATEMENT OF INDEBTEDNESS</t>
  </si>
  <si>
    <t xml:space="preserve">Date </t>
  </si>
  <si>
    <t xml:space="preserve">Principal </t>
  </si>
  <si>
    <t>Purpose</t>
  </si>
  <si>
    <t>Previous Payments Made</t>
  </si>
  <si>
    <t>Balance of the</t>
  </si>
  <si>
    <t>Noted by:</t>
  </si>
  <si>
    <t>Amounts</t>
  </si>
  <si>
    <t xml:space="preserve">1. </t>
  </si>
  <si>
    <t>STATUTORY AND CONTRACTUAL OBLIGATIONS</t>
  </si>
  <si>
    <t>1.1</t>
  </si>
  <si>
    <t>1.2</t>
  </si>
  <si>
    <t>Employees Compensation Insurance Premiums</t>
  </si>
  <si>
    <t>1.3</t>
  </si>
  <si>
    <t>1.4</t>
  </si>
  <si>
    <t>1.5</t>
  </si>
  <si>
    <t>Retirement and Life Insurance Premiums</t>
  </si>
  <si>
    <t>BUDGETARY REQUIREMENTS</t>
  </si>
  <si>
    <t>2.1</t>
  </si>
  <si>
    <t>2.2</t>
  </si>
  <si>
    <t>2.3</t>
  </si>
  <si>
    <t>20% of IRA for Development Fund</t>
  </si>
  <si>
    <t xml:space="preserve">Financial Assistance to Barangays </t>
  </si>
  <si>
    <t>SOCIAL SERVICES</t>
  </si>
  <si>
    <t>ECONOMIC SERVICES</t>
  </si>
  <si>
    <t>OTHER SERVICES</t>
  </si>
  <si>
    <t>1011-20</t>
  </si>
  <si>
    <t>1011-21</t>
  </si>
  <si>
    <t>1011-22</t>
  </si>
  <si>
    <t>Savings Unappropriated</t>
  </si>
  <si>
    <t>TOTAL BEGINNING CASH BALANCE</t>
  </si>
  <si>
    <t>Executive direction, control, supervision and management of municipal affairs</t>
  </si>
  <si>
    <t>Plans and Infrastructure Programs of the municipality</t>
  </si>
  <si>
    <t>Prepares and reviews Annual and Supplemental Budget</t>
  </si>
  <si>
    <t>Determine the financial status and update financial statements</t>
  </si>
  <si>
    <t>Assessment of all real properties located in the municipality</t>
  </si>
  <si>
    <t>Prepares estimates of all infrastructure projects of the municipality and inspect them</t>
  </si>
  <si>
    <t>In charge of the general welfare of the population of the muniicpality</t>
  </si>
  <si>
    <t>Create policies on agriculture services and environment</t>
  </si>
  <si>
    <t>Conduct health information campaign; provide basic health services</t>
  </si>
  <si>
    <t>Conduct health information campaign, provide basic health services</t>
  </si>
  <si>
    <t>Collection of business taxes and maintenance of market and slaughterhouse</t>
  </si>
  <si>
    <t>and management programs</t>
  </si>
  <si>
    <t>Performance Enhancement Incentive (PEI)</t>
  </si>
  <si>
    <t>Office Equipment</t>
  </si>
  <si>
    <t>5-01-01-010</t>
  </si>
  <si>
    <t>5-01-02-010</t>
  </si>
  <si>
    <t>5-01-02-020</t>
  </si>
  <si>
    <t>5-01-02-030</t>
  </si>
  <si>
    <t>5-01-02-040</t>
  </si>
  <si>
    <t>5-01-02-080</t>
  </si>
  <si>
    <t>5-01-02-990</t>
  </si>
  <si>
    <t>5-01-02-150</t>
  </si>
  <si>
    <t>5-01-02-140</t>
  </si>
  <si>
    <t>5-01-03-010</t>
  </si>
  <si>
    <t>5-01-03-020</t>
  </si>
  <si>
    <t>5-01-03-030</t>
  </si>
  <si>
    <t>5-01-03-040</t>
  </si>
  <si>
    <t>5-01-04-030</t>
  </si>
  <si>
    <t>5-02-01-010</t>
  </si>
  <si>
    <t>5-02-02-010</t>
  </si>
  <si>
    <t>5-02-03-010</t>
  </si>
  <si>
    <t>5-02-05-010</t>
  </si>
  <si>
    <t>5-02-05-020</t>
  </si>
  <si>
    <t>5-02-13-990</t>
  </si>
  <si>
    <t>5-02-99-990</t>
  </si>
  <si>
    <t>5-01-02-050</t>
  </si>
  <si>
    <t>5-01-02-110</t>
  </si>
  <si>
    <t>5-01-02-130</t>
  </si>
  <si>
    <t>5-01-04-990</t>
  </si>
  <si>
    <t>5-02-03-020</t>
  </si>
  <si>
    <t>5-02-03-070</t>
  </si>
  <si>
    <t>5-02-03-080</t>
  </si>
  <si>
    <t>5-02-03-090</t>
  </si>
  <si>
    <t>5-02-99-010</t>
  </si>
  <si>
    <t>5-02-99-030</t>
  </si>
  <si>
    <t>5-02-13-060</t>
  </si>
  <si>
    <t>5-02-10-030</t>
  </si>
  <si>
    <t>5-02-16-020</t>
  </si>
  <si>
    <t>4-01-02-040</t>
  </si>
  <si>
    <t>4-01-05-020</t>
  </si>
  <si>
    <t>4-01-05-040</t>
  </si>
  <si>
    <t>4-01-03-060</t>
  </si>
  <si>
    <t>4-01-03-070</t>
  </si>
  <si>
    <t>4-01-03-040</t>
  </si>
  <si>
    <t>4-01-01-050</t>
  </si>
  <si>
    <t>4-02-01-020</t>
  </si>
  <si>
    <t>4-02-01-100</t>
  </si>
  <si>
    <t>4-02-01-040</t>
  </si>
  <si>
    <t>4-02-01-010</t>
  </si>
  <si>
    <t>4-02-01-140</t>
  </si>
  <si>
    <t>4-02-01-990</t>
  </si>
  <si>
    <t>4-02-02-160</t>
  </si>
  <si>
    <t>4-02-02-050</t>
  </si>
  <si>
    <t>4-02-02-120</t>
  </si>
  <si>
    <t>4-02-02-200</t>
  </si>
  <si>
    <t>4-02-02-220</t>
  </si>
  <si>
    <t>4-06-01-010</t>
  </si>
  <si>
    <t>4-01-06-010</t>
  </si>
  <si>
    <t>4-01-06-040</t>
  </si>
  <si>
    <t>R</t>
  </si>
  <si>
    <t>5-01-01-020</t>
  </si>
  <si>
    <t>5-02-04-020</t>
  </si>
  <si>
    <t>5-02-12-990</t>
  </si>
  <si>
    <t>5-02-16-030</t>
  </si>
  <si>
    <t>4-01-03-030</t>
  </si>
  <si>
    <t>4-02-01-160</t>
  </si>
  <si>
    <t>4-02-02-150</t>
  </si>
  <si>
    <t>4-02-02-190</t>
  </si>
  <si>
    <t>4-02-02-140</t>
  </si>
  <si>
    <t xml:space="preserve">TOTAL MAINTENANCE AND OTHER OPERATING EXPENSES </t>
  </si>
  <si>
    <t>TOTAL CAPITAL OUTLAYS</t>
  </si>
  <si>
    <t>-582</t>
  </si>
  <si>
    <t>-599</t>
  </si>
  <si>
    <t>-617</t>
  </si>
  <si>
    <t>-605</t>
  </si>
  <si>
    <t>-601</t>
  </si>
  <si>
    <t>-619</t>
  </si>
  <si>
    <t>-637-1</t>
  </si>
  <si>
    <t>-637-2</t>
  </si>
  <si>
    <t>-616</t>
  </si>
  <si>
    <t>-636-1</t>
  </si>
  <si>
    <t>-636-2</t>
  </si>
  <si>
    <t>-636-3</t>
  </si>
  <si>
    <t>-636-4</t>
  </si>
  <si>
    <t>-588-1</t>
  </si>
  <si>
    <t>-588-2</t>
  </si>
  <si>
    <t>-581</t>
  </si>
  <si>
    <t>-584</t>
  </si>
  <si>
    <t>-604</t>
  </si>
  <si>
    <t>-593</t>
  </si>
  <si>
    <t>-583</t>
  </si>
  <si>
    <t>-606-1</t>
  </si>
  <si>
    <t>-606-2</t>
  </si>
  <si>
    <t>-606-3</t>
  </si>
  <si>
    <t>-613-1</t>
  </si>
  <si>
    <t>-613-2</t>
  </si>
  <si>
    <t>-613-3</t>
  </si>
  <si>
    <t>-605-1</t>
  </si>
  <si>
    <t>-605-2</t>
  </si>
  <si>
    <t>-605-3</t>
  </si>
  <si>
    <t>-605-4</t>
  </si>
  <si>
    <t>-585</t>
  </si>
  <si>
    <t>-628</t>
  </si>
  <si>
    <t>-633-1</t>
  </si>
  <si>
    <t>-633-2</t>
  </si>
  <si>
    <t>-642</t>
  </si>
  <si>
    <t>-640</t>
  </si>
  <si>
    <t>-664</t>
  </si>
  <si>
    <t>-678</t>
  </si>
  <si>
    <t>-665</t>
  </si>
  <si>
    <t>-671</t>
  </si>
  <si>
    <t>NR</t>
  </si>
  <si>
    <t>Productivity Enhancement Incentive (PEI)</t>
  </si>
  <si>
    <t xml:space="preserve">          M.P.D.C.</t>
  </si>
  <si>
    <t>TOTAL CAPITAL OUTLAY</t>
  </si>
  <si>
    <t>MARJORIE V. TINTE, CPA</t>
  </si>
  <si>
    <t>Aid to PNP</t>
  </si>
  <si>
    <t>Aid to Bureau of Fire Protection</t>
  </si>
  <si>
    <t>Aid to Trial Court</t>
  </si>
  <si>
    <t>Aid to COA</t>
  </si>
  <si>
    <t>Aid to Prosecutor's Office</t>
  </si>
  <si>
    <t>Aid to Public Attorney's Office (PAO)</t>
  </si>
  <si>
    <t>Other Bonuses and Allowances (Mid Year Bonus)</t>
  </si>
  <si>
    <t>Office: OFFICE OF THE MUNICIPAL MAYOR-1011</t>
  </si>
  <si>
    <t>20% Development Fund to be reprogrammed</t>
  </si>
  <si>
    <t>Aid to DILG</t>
  </si>
  <si>
    <t>Aid to CVO (Insurance Premium)</t>
  </si>
  <si>
    <t>Aid to COMELEC</t>
  </si>
  <si>
    <t>Aid to BIR</t>
  </si>
  <si>
    <t>Medicare Para sa Masa</t>
  </si>
  <si>
    <t>Aid to Veterans</t>
  </si>
  <si>
    <t>Aid to BHW</t>
  </si>
  <si>
    <t>Aid to PLEB</t>
  </si>
  <si>
    <t>Aid to Scouting</t>
  </si>
  <si>
    <t>SPES-Special Program for Employment of Students</t>
  </si>
  <si>
    <t>Maintenance of Plaza, Parks, and Monuments</t>
  </si>
  <si>
    <t>Maintenance of Roads and Bridges</t>
  </si>
  <si>
    <t>Other Services</t>
  </si>
  <si>
    <t>Capability Building</t>
  </si>
  <si>
    <t>GAD</t>
  </si>
  <si>
    <t>Nutrition Program</t>
  </si>
  <si>
    <t>Population Development Program</t>
  </si>
  <si>
    <t>Environmental Sanitation Program</t>
  </si>
  <si>
    <t>PESO &amp; MDO</t>
  </si>
  <si>
    <t>Sports Development</t>
  </si>
  <si>
    <t>Legal Services</t>
  </si>
  <si>
    <t>Non-Formal Education</t>
  </si>
  <si>
    <t>Mun. Anti- Drug Addiction Campaign</t>
  </si>
  <si>
    <t>Senior Citizens &amp; the Differently-Abled</t>
  </si>
  <si>
    <t xml:space="preserve">          OSCA</t>
  </si>
  <si>
    <t xml:space="preserve">          PDAO</t>
  </si>
  <si>
    <t xml:space="preserve">          STAC</t>
  </si>
  <si>
    <t xml:space="preserve">          Plans &amp; Programs</t>
  </si>
  <si>
    <t>Maintenance of Municipal Building &amp; Other Facilities</t>
  </si>
  <si>
    <t>Tourism Development</t>
  </si>
  <si>
    <t xml:space="preserve">AIP </t>
  </si>
  <si>
    <t xml:space="preserve">REFERENCE </t>
  </si>
  <si>
    <t>Office: ECONOMIC ENTERPRISE MANAGEMENT-MARKET-8811</t>
  </si>
  <si>
    <t>Water Expenses</t>
  </si>
  <si>
    <t>Telephone Expenses-Landline</t>
  </si>
  <si>
    <t>2.4</t>
  </si>
  <si>
    <t>5% Local Disaster Risk Reduction and Management (LDRRMF)</t>
  </si>
  <si>
    <t>Doctor to the Barrios</t>
  </si>
  <si>
    <t xml:space="preserve">      Special Purpose Appropriation</t>
  </si>
  <si>
    <t>IT Equipment &amp; Software</t>
  </si>
  <si>
    <t>-221</t>
  </si>
  <si>
    <t>1-07-05-020</t>
  </si>
  <si>
    <t>-223</t>
  </si>
  <si>
    <t>Furniture and Fixtures</t>
  </si>
  <si>
    <t>-222</t>
  </si>
  <si>
    <t>1-07-07-010</t>
  </si>
  <si>
    <t>Office Building</t>
  </si>
  <si>
    <t>1-07-04-010</t>
  </si>
  <si>
    <t>Motor Vehicles</t>
  </si>
  <si>
    <t>Communication Equipment</t>
  </si>
  <si>
    <t>1-07-05-070</t>
  </si>
  <si>
    <t>1-07-06-010</t>
  </si>
  <si>
    <t>Books</t>
  </si>
  <si>
    <t>1-07-07-020</t>
  </si>
  <si>
    <t>Aid to Asingan Community Hospital</t>
  </si>
  <si>
    <t>M.C.R.</t>
  </si>
  <si>
    <t>Municipal Assessor</t>
  </si>
  <si>
    <t>Municipal Agriculturist Officer</t>
  </si>
  <si>
    <t>Municipal Health Officer</t>
  </si>
  <si>
    <t>Local Budget Prep. Form 2a</t>
  </si>
  <si>
    <t xml:space="preserve">Budget of Expenditures and Sources of </t>
  </si>
  <si>
    <t>Financing</t>
  </si>
  <si>
    <t>Programmed Appropriation and Obligation</t>
  </si>
  <si>
    <t>by Object of Expenditure</t>
  </si>
  <si>
    <t>Mandate, Vision, Mission, Major Final Output,</t>
  </si>
  <si>
    <t>Performance Indicators and Targets</t>
  </si>
  <si>
    <t>Statement of Indebtedness</t>
  </si>
  <si>
    <t>Statement of Statutory and Contractual</t>
  </si>
  <si>
    <t>Statement of Fund Allocation by Sector</t>
  </si>
  <si>
    <t>for Special Purpose Appropriations</t>
  </si>
  <si>
    <t>Public Affairs Fund</t>
  </si>
  <si>
    <t>TOTAL PERSONAL SERVICES (PS)</t>
  </si>
  <si>
    <t>TOTAL MAINTENANCE AND OTHER OPERATING EXPENSES (MOOE)</t>
  </si>
  <si>
    <t>TOTAL CAPITAL OUTLAY (CO)</t>
  </si>
  <si>
    <t>GENERAL PUBLIC  SERVICES</t>
  </si>
  <si>
    <t>Local Council for the Protection of Children (LCPC)</t>
  </si>
  <si>
    <t>TOTAL SPECIAL PURPOSE APPROPRIATIONS (SPAs)</t>
  </si>
  <si>
    <t xml:space="preserve">Republic of the Philippines </t>
  </si>
  <si>
    <t>BS/mo.</t>
  </si>
  <si>
    <t xml:space="preserve">          Katarungang Pambarangay</t>
  </si>
  <si>
    <t>1011-3a</t>
  </si>
  <si>
    <t>CHRISTOPHER JERONE S. LAVARIAS</t>
  </si>
  <si>
    <t>PORFERIO R. TENDERO</t>
  </si>
  <si>
    <t>KATHRINA P. BOLLESER</t>
  </si>
  <si>
    <t>MARIA TERESA L. ODA</t>
  </si>
  <si>
    <t>14/5</t>
  </si>
  <si>
    <t>7/4</t>
  </si>
  <si>
    <t>24/4</t>
  </si>
  <si>
    <t>CLARA G. LEAÑO</t>
  </si>
  <si>
    <t>MERLITA M. SERQUIÑA</t>
  </si>
  <si>
    <t>MARY KRISSEL G. GELIDO</t>
  </si>
  <si>
    <t>VIVIAN B. ROMERO</t>
  </si>
  <si>
    <t>RAFFY V. BIAGAN</t>
  </si>
  <si>
    <t>18/4</t>
  </si>
  <si>
    <t>3/4</t>
  </si>
  <si>
    <t>JESUS G. CARDINEZ</t>
  </si>
  <si>
    <t>TERESA L. HELACIO</t>
  </si>
  <si>
    <t>*</t>
  </si>
  <si>
    <t>Aid to Child Development Workers</t>
  </si>
  <si>
    <t>Department Head I/MCR</t>
  </si>
  <si>
    <t>Department Head I/MBO</t>
  </si>
  <si>
    <t>Department Head I/MSWDO</t>
  </si>
  <si>
    <t>Department Head I/Mun. Agriculturist</t>
  </si>
  <si>
    <t>Department Head I/Mun. Accountant</t>
  </si>
  <si>
    <t>Department Head I/Mun. Treasurer</t>
  </si>
  <si>
    <t>Department Head I/Mun. Assessor</t>
  </si>
  <si>
    <t>Department Head I/Mun. Engineer</t>
  </si>
  <si>
    <t>Municipal Government/</t>
  </si>
  <si>
    <t>Department Head I/Mun. Health Officer</t>
  </si>
  <si>
    <t>Other Bonuses and Allowances (Mid-Year Bonus)</t>
  </si>
  <si>
    <t>IT Equipment &amp; Software (Laptop &amp; Printer)</t>
  </si>
  <si>
    <t>Aid to BNS</t>
  </si>
  <si>
    <t>-224</t>
  </si>
  <si>
    <t>-229</t>
  </si>
  <si>
    <t>ok</t>
  </si>
  <si>
    <t>LDRRMO III</t>
  </si>
  <si>
    <t>ENGR. BENJAMIN B. GINES, JR.</t>
  </si>
  <si>
    <t>DR. JESUS G. CARDINEZ</t>
  </si>
  <si>
    <t>DR. RONNIE S. TOMAS</t>
  </si>
  <si>
    <t>Local Budget Prep. Form 3a</t>
  </si>
  <si>
    <t>Personnel Schedule per Office</t>
  </si>
  <si>
    <t>i.</t>
  </si>
  <si>
    <t>TERESA O. MAMALIO, RSW</t>
  </si>
  <si>
    <t>Environment Management Specialist I</t>
  </si>
  <si>
    <t>Legislative Staff Assistant II</t>
  </si>
  <si>
    <t>CRISPIN G. VILLANUEVA</t>
  </si>
  <si>
    <t>Repairs &amp; Maintenance-Machinery and Equipment</t>
  </si>
  <si>
    <t>Other Infrastructure Assets</t>
  </si>
  <si>
    <t>1-07-03-990</t>
  </si>
  <si>
    <t>Fuel, Oil, &amp; Lubricant Expenses</t>
  </si>
  <si>
    <t>Repairs &amp; Maintenance-Transportation Equipment</t>
  </si>
  <si>
    <t>Repairs &amp; Maintenance-Machinery &amp; Equipment</t>
  </si>
  <si>
    <t>Aid to Public Schools</t>
  </si>
  <si>
    <t>Expenditures</t>
  </si>
  <si>
    <t>(ACTUAL AND ESTIMATE)</t>
  </si>
  <si>
    <t xml:space="preserve">      Katarungang Pambarangay</t>
  </si>
  <si>
    <t>Fuel, Oil &amp; Lubricants Expenses</t>
  </si>
  <si>
    <t>TOTAL 5% LOCAL DISASTER RISK REDUCTION FUND</t>
  </si>
  <si>
    <t>Subsistence, Laundry &amp; Quarter Allowance</t>
  </si>
  <si>
    <t>ANGELICA MAE E. TAN</t>
  </si>
  <si>
    <t>-211</t>
  </si>
  <si>
    <t>-241</t>
  </si>
  <si>
    <t>Maintenance of Motor Vehicles</t>
  </si>
  <si>
    <t>Non-Office</t>
  </si>
  <si>
    <t>SUB-TOTAL</t>
  </si>
  <si>
    <t>17/7</t>
  </si>
  <si>
    <t>10/3</t>
  </si>
  <si>
    <t>1/7</t>
  </si>
  <si>
    <t>18/2</t>
  </si>
  <si>
    <t>(TOTAL)</t>
  </si>
  <si>
    <t>1-07-04-990</t>
  </si>
  <si>
    <t>-203</t>
  </si>
  <si>
    <t>Aid to BSPO</t>
  </si>
  <si>
    <t>9997-12</t>
  </si>
  <si>
    <t>9997-14</t>
  </si>
  <si>
    <t>Repairs &amp; Maintenance-Buildings &amp; Other Structures</t>
  </si>
  <si>
    <t>5-02-13-040</t>
  </si>
  <si>
    <t>5-02-13-050</t>
  </si>
  <si>
    <t>Repairs &amp; Maintenance-Building</t>
  </si>
  <si>
    <t>IT Equipment &amp; Software (Installation of System)</t>
  </si>
  <si>
    <t>Total Station (Surveying Equipment)</t>
  </si>
  <si>
    <t>1-07-05-990</t>
  </si>
  <si>
    <t>1011-19</t>
  </si>
  <si>
    <t>1011-23</t>
  </si>
  <si>
    <t>FIEL XYMOND R. CARDINEZ</t>
  </si>
  <si>
    <t>SUSANA R. COLOMA</t>
  </si>
  <si>
    <t>ALVIN ERWIN D. PARAGAS</t>
  </si>
  <si>
    <t>MAHINAHON C. GABRIEL</t>
  </si>
  <si>
    <t>KENNETH DG. AFOS</t>
  </si>
  <si>
    <t>FERDINAND M. CORPUZ</t>
  </si>
  <si>
    <t>Municipal Engineer</t>
  </si>
  <si>
    <t>Community Affairs Assistant II</t>
  </si>
  <si>
    <t>Engineering Assistant</t>
  </si>
  <si>
    <t>Agriculturist II</t>
  </si>
  <si>
    <t>Accountant I</t>
  </si>
  <si>
    <t>5</t>
  </si>
  <si>
    <t>6</t>
  </si>
  <si>
    <t>13</t>
  </si>
  <si>
    <t>18</t>
  </si>
  <si>
    <t>21</t>
  </si>
  <si>
    <t>22</t>
  </si>
  <si>
    <t>25</t>
  </si>
  <si>
    <t>26</t>
  </si>
  <si>
    <t>27</t>
  </si>
  <si>
    <t>28</t>
  </si>
  <si>
    <t>29</t>
  </si>
  <si>
    <t>30</t>
  </si>
  <si>
    <t>31</t>
  </si>
  <si>
    <t>32</t>
  </si>
  <si>
    <t>33</t>
  </si>
  <si>
    <t>34</t>
  </si>
  <si>
    <t>35</t>
  </si>
  <si>
    <t>36</t>
  </si>
  <si>
    <t>37</t>
  </si>
  <si>
    <t>38</t>
  </si>
  <si>
    <t>60</t>
  </si>
  <si>
    <t>61</t>
  </si>
  <si>
    <t>62</t>
  </si>
  <si>
    <t>63</t>
  </si>
  <si>
    <t>LETICIA R. DOLLENTE</t>
  </si>
  <si>
    <t>ARJAY M. GARCIA</t>
  </si>
  <si>
    <t>PEARCHIN T. MAMASIG</t>
  </si>
  <si>
    <t>Municipal Treasurer</t>
  </si>
  <si>
    <t>66</t>
  </si>
  <si>
    <t>67</t>
  </si>
  <si>
    <t>70</t>
  </si>
  <si>
    <t>71</t>
  </si>
  <si>
    <t>42</t>
  </si>
  <si>
    <t xml:space="preserve">Office: </t>
  </si>
  <si>
    <t>OFFICE OF THE MUNICIPAL MAYOR</t>
  </si>
  <si>
    <t xml:space="preserve">Mandate: </t>
  </si>
  <si>
    <t>Executive direction, control, supervision and management of all municipal affairs.</t>
  </si>
  <si>
    <t>Vision:</t>
  </si>
  <si>
    <t>Attain Economic Growth and progress through concerned efforts of its God-loving, dedicated, committed political and lay leaders working together for the General Welfare of their constituents</t>
  </si>
  <si>
    <t xml:space="preserve">Mission: </t>
  </si>
  <si>
    <t xml:space="preserve">Envision to achieve Political Maturity, Socio-Economic Growth and Progress through excellence in Public Service, Agricultural and Technological Modernization and thriving Commerce and Industry sustained by their Natural Resources and God-loving, industrious, law-abiding and peaceful  loving people </t>
  </si>
  <si>
    <t>Organizational Outcome:  Prudence and maximum utilization of Public Funds and delivery of Basic-Services to its constituents to its fullest</t>
  </si>
  <si>
    <t>AIP CODE</t>
  </si>
  <si>
    <t>Target for the Budget Year</t>
  </si>
  <si>
    <t>1000-1-0</t>
  </si>
  <si>
    <t xml:space="preserve">Formulate policy, guidelines and implementation of all PPA's </t>
  </si>
  <si>
    <t>Ensure all PPA's are fully implemented</t>
  </si>
  <si>
    <t>100% Policy implementation</t>
  </si>
  <si>
    <t>Sustain/maintain whole year round Municipality-wide</t>
  </si>
  <si>
    <t>Directs the implementation of Municipal Plans and Projects of AIP</t>
  </si>
  <si>
    <t>Monitoring/supervising of all Municipal Plans</t>
  </si>
  <si>
    <t>100% full implementation</t>
  </si>
  <si>
    <t>Sustain/maintain all PPA's during Budget Year; Municipality-wide</t>
  </si>
  <si>
    <t>Provide extension services in planning/budgeting to all 21 brgys.</t>
  </si>
  <si>
    <t>Extended services to all Brgys.</t>
  </si>
  <si>
    <t>100% services needed to brgys. to be addressed in accordance to Local Code</t>
  </si>
  <si>
    <t>Maintain regular rapport/monitoring to all Brgys.; Municipality-wide</t>
  </si>
  <si>
    <t>Delivers public assistance services to marginalized constituents, farmers, disadvantaged PWD's, and elderly</t>
  </si>
  <si>
    <t>All concerns of theses sectors are addressed immediately</t>
  </si>
  <si>
    <t>100% fully implemented</t>
  </si>
  <si>
    <t>All year round direct monitoring of their basic needs; Municipality-wide</t>
  </si>
  <si>
    <t>Provide consultative services to all Punong Brgys. on local governance</t>
  </si>
  <si>
    <t>Monthly regular meeting</t>
  </si>
  <si>
    <t>All PPA's shall synchronize to brgy. activities</t>
  </si>
  <si>
    <t>All year round monitoring/consultation; Municipality-wide</t>
  </si>
  <si>
    <t>Implement priority projects necessary to economic growth of the municipality</t>
  </si>
  <si>
    <t>Prioritized the immediate projects needed by constituents</t>
  </si>
  <si>
    <t>As needes arises; Municipality-wide</t>
  </si>
  <si>
    <t>General Regular Activities</t>
  </si>
  <si>
    <t>No backlog at the end of the day</t>
  </si>
  <si>
    <t>100% quality delivery of basic services</t>
  </si>
  <si>
    <t>Sustain/maintain of all PPA's for the whole year</t>
  </si>
  <si>
    <t>Prepared by:</t>
  </si>
  <si>
    <t>Reviewed:  Local Finance Committee</t>
  </si>
  <si>
    <t>43</t>
  </si>
  <si>
    <t>OFFICE OF THE SANGGUNIANG BAYAN</t>
  </si>
  <si>
    <t>As the Legislative body of the municipality, it shall enact ordinances, approve resolutions and appropriate funds for the general welfare of its constituents.</t>
  </si>
  <si>
    <t>A Legislative Body where all the enacted/approved ordinances and resolutions are fully implemented for the benefit and welfare of the townspeople of Asingan and the municipality in general</t>
  </si>
  <si>
    <t>To enact ordinances/approved resolutions and appropriate funds for the general welfare of the municipality and its inhabitants, generate and maximize the use of resources and revenues for the programs, projects and activities of the municipal government</t>
  </si>
  <si>
    <t>Organizational Outcome:  Clientele adhere/follow the enacted/approved ordinances and resolutions for the general welfare of every Asinganians</t>
  </si>
  <si>
    <t>1000-2-1</t>
  </si>
  <si>
    <t>Minutes of Session</t>
  </si>
  <si>
    <t>Every Monday</t>
  </si>
  <si>
    <t>48 weeks</t>
  </si>
  <si>
    <t>Ordinances</t>
  </si>
  <si>
    <t>Conducted within the presence of SBM, CSO's &amp; other stakeholders</t>
  </si>
  <si>
    <t>100% conducted</t>
  </si>
  <si>
    <t>20 committee hearing/public</t>
  </si>
  <si>
    <t>- Conduct Committee Hearing</t>
  </si>
  <si>
    <t>- Conduct Public Hearing</t>
  </si>
  <si>
    <t>- Final Approval at SP</t>
  </si>
  <si>
    <t>SP Lingayen for review</t>
  </si>
  <si>
    <t>100% approved</t>
  </si>
  <si>
    <t>10 ordinances</t>
  </si>
  <si>
    <t>Resolutions</t>
  </si>
  <si>
    <t>Approved</t>
  </si>
  <si>
    <t>200 resolutions</t>
  </si>
  <si>
    <t>Exercise such other powers and perform such other duties and functions as may be prescribed by law or ordinance.</t>
  </si>
  <si>
    <t>Public Assistance</t>
  </si>
  <si>
    <t>Level of satisfaction of clients for services rendered</t>
  </si>
  <si>
    <t>Year Round</t>
  </si>
  <si>
    <t>SB Secretary</t>
  </si>
  <si>
    <t>44</t>
  </si>
  <si>
    <t>Office:</t>
  </si>
  <si>
    <t>MUNICIPAL PLANNING AND DEVELOPMENT OFFICE</t>
  </si>
  <si>
    <t>Planning and coordinating development projects of the local government unit</t>
  </si>
  <si>
    <t>Center of information and study for current and projected plans for the welfare of the general public as to social, economic, environmental and other concerns</t>
  </si>
  <si>
    <t>Continual update of the developmental plans for the attainment/realization of a better human, financial and physical condition of the Municipality</t>
  </si>
  <si>
    <t>Organizational Outcome:  A well-monitored implementation of the different developmental programs, projects and activities of the municipality</t>
  </si>
  <si>
    <t>Program / Project/Activity Description</t>
  </si>
  <si>
    <t>Major Final Outcome</t>
  </si>
  <si>
    <t>Performance/Output Indicator</t>
  </si>
  <si>
    <t>MODE</t>
  </si>
  <si>
    <t>1000-3-0</t>
  </si>
  <si>
    <t>Day to day services to all sectors in the Government and the General Public</t>
  </si>
  <si>
    <t>Provided services in accordance with existing rules, laws and regulations</t>
  </si>
  <si>
    <t>100% needed supports and services accordingly all year round</t>
  </si>
  <si>
    <t>100% needed supports and services accordingly all year round and other services needed are rendered</t>
  </si>
  <si>
    <t>Conduct procurement activities</t>
  </si>
  <si>
    <t>Provided transparency and information of procurements</t>
  </si>
  <si>
    <t>100% procurement posted in the PHILGEPS and bulletin boards are implemented accordingly, 100% of basic services are met</t>
  </si>
  <si>
    <t>Sectoral PAP's are identified in accordance with existing rules</t>
  </si>
  <si>
    <t>100% of basic services are met</t>
  </si>
  <si>
    <t>Charge to 20% Development Fund</t>
  </si>
  <si>
    <t>45</t>
  </si>
  <si>
    <t>MUNICIPAL CIVIL REGISTRAR</t>
  </si>
  <si>
    <t>Mandate:</t>
  </si>
  <si>
    <t>Civil Registration of the Municipality</t>
  </si>
  <si>
    <t>We belong to a developed municipality with God fearing, competent and disciplined staff committed to serve the public with high integrity, honesty, and excellence in the public service.</t>
  </si>
  <si>
    <t>Mission:</t>
  </si>
  <si>
    <t>We are committed to register vital events such as births, death and marriage and other registable events required by law through implementation of registration procedures and provisions</t>
  </si>
  <si>
    <t>which will standardize the Civil Registration System in the Municipality resulting in current, complete and accurate vital statistics in the municipality.</t>
  </si>
  <si>
    <t xml:space="preserve">Organizational Outcome: Efficient delivery of civil registration documents and programs pursuant to the civil registry law, the civil code and other pertinent laws. </t>
  </si>
  <si>
    <t>1000-4-0</t>
  </si>
  <si>
    <t>Support Service</t>
  </si>
  <si>
    <t>Policy guidelines formulated</t>
  </si>
  <si>
    <t>Prepare and submit monthly accomplishment report</t>
  </si>
  <si>
    <t>100% Submitted</t>
  </si>
  <si>
    <t>Marriages, licenses, death certificates, birth certificates.</t>
  </si>
  <si>
    <t xml:space="preserve">First ten days of January &amp; every month/as need arises </t>
  </si>
  <si>
    <t>Free issuance of Certified True Copies of Birth, Death and Marriages</t>
  </si>
  <si>
    <t>100% request issued</t>
  </si>
  <si>
    <t>All concerned</t>
  </si>
  <si>
    <t>Every February 27</t>
  </si>
  <si>
    <t>Mass Wedding</t>
  </si>
  <si>
    <t>100% approved applications</t>
  </si>
  <si>
    <t>Asingan Constituents</t>
  </si>
  <si>
    <t xml:space="preserve">Any day  of February </t>
  </si>
  <si>
    <t>Conduct information dissemination on Civil Registration</t>
  </si>
  <si>
    <t>As need arises</t>
  </si>
  <si>
    <t>RHU Staff/ABC meeting/Barangay Assembly</t>
  </si>
  <si>
    <t>Attend MCR meeting/conferences</t>
  </si>
  <si>
    <t>100% Attendance</t>
  </si>
  <si>
    <t>Monthly</t>
  </si>
  <si>
    <t>Attend MCR Convention/Seminar Workshop/Training</t>
  </si>
  <si>
    <t>80% Attendance</t>
  </si>
  <si>
    <t>3x a year</t>
  </si>
  <si>
    <t>46</t>
  </si>
  <si>
    <t>MUNICIPAL BUDGET OFFICE</t>
  </si>
  <si>
    <t>Responsible for the Appropriation matters, review/evaluation of Financial Plans and Release of Allotments</t>
  </si>
  <si>
    <t>We don't just count the peso; we make every peso count by preparing a sound and balanced budget of the municipality</t>
  </si>
  <si>
    <t>The Municipal Budget Office will prioritize economic recovery and growth of the municipality by ensuring that no overdrafts will be incurred. No deficit spending and generation of savings and surpluses without prejudice to project and program implementations</t>
  </si>
  <si>
    <t>Organizational Outcome:  Delivery of basic services is attained immediately and promptly</t>
  </si>
  <si>
    <t>1000-5-0</t>
  </si>
  <si>
    <t>Preparation of Annual Budget /Supplemental Budget</t>
  </si>
  <si>
    <t>Annual Budget/Supplemental Budget</t>
  </si>
  <si>
    <t>100% compliance with all budgeting requirements</t>
  </si>
  <si>
    <t>100% Accuracy</t>
  </si>
  <si>
    <t>Sustain/maintain balance budget</t>
  </si>
  <si>
    <t>Review the 21 Brgys. Annual/Supplemental Budgets</t>
  </si>
  <si>
    <t>Review/submission to SB for approval, always on prescribed deadline</t>
  </si>
  <si>
    <t>100% review of 21 Brgy. Budget</t>
  </si>
  <si>
    <t>Sustain/maintain regular PPA's</t>
  </si>
  <si>
    <t>Quarterly Release of Allotments</t>
  </si>
  <si>
    <t>Ensure that allotment are strictly followed</t>
  </si>
  <si>
    <t>Allotment are released before the monthly quarter ends</t>
  </si>
  <si>
    <t>Sustain/maintain surplus budget</t>
  </si>
  <si>
    <t>Regular/Daily PPA's shall be given outmost priority</t>
  </si>
  <si>
    <t>Serve well the regular clientele with promptness and courtesy</t>
  </si>
  <si>
    <t>100% guaranteed public service to all clientele w/o delay</t>
  </si>
  <si>
    <t>Sustain/maintain good public service</t>
  </si>
  <si>
    <t>General Administrative and Support Service</t>
  </si>
  <si>
    <t xml:space="preserve">Regular PPA's </t>
  </si>
  <si>
    <t>Statutory obligations be met/complied with</t>
  </si>
  <si>
    <t>Sustain/maintain regular activities</t>
  </si>
  <si>
    <t>Issuance of Endorsement Letters to 21 Barangays</t>
  </si>
  <si>
    <t>Endorsement Letter</t>
  </si>
  <si>
    <t>To be included in the calendar of business for committee hearing</t>
  </si>
  <si>
    <t>21 Barangays</t>
  </si>
  <si>
    <t>42 Endorsement Letters</t>
  </si>
  <si>
    <t>Coordinate with the MPDC &amp; LDC for the preparation of the AIP</t>
  </si>
  <si>
    <t>Annual Investment Program</t>
  </si>
  <si>
    <t>Number of meetings with MPDC, LDC and LFC</t>
  </si>
  <si>
    <t>Coordinate in the Accounting &amp; Treasurer's Office for the reconciliation of figures</t>
  </si>
  <si>
    <t>Summary of Receipts &amp; Receipts and Expenditures (General, Special Education Fund, and Barangay)</t>
  </si>
  <si>
    <t>Amounts are reconciled in the Financial Statements</t>
  </si>
  <si>
    <t>47</t>
  </si>
  <si>
    <t>Recording of Obligation Request</t>
  </si>
  <si>
    <t>Status of Appropriation, Allotment, Obligation and Balances</t>
  </si>
  <si>
    <t xml:space="preserve">Availability of Balances </t>
  </si>
  <si>
    <t>Reconciled in the Accounting Disbursement Journals</t>
  </si>
  <si>
    <t>Proper Recording of Expenses</t>
  </si>
  <si>
    <t>Certification of Available Appropriation for Obligation Request and Purchase Request</t>
  </si>
  <si>
    <t>Signed Obligation Request/Purchase Request</t>
  </si>
  <si>
    <t>2 minutes per Obligation Request/Purchase Request</t>
  </si>
  <si>
    <t>Summary of Expenses According to Classification (PS, MOOE, CO)</t>
  </si>
  <si>
    <t>Availability of Information</t>
  </si>
  <si>
    <t>100 % accuracy</t>
  </si>
  <si>
    <t>Reconciled in the Accounting Summary Records of Expenses</t>
  </si>
  <si>
    <t>Recording of Expenses</t>
  </si>
  <si>
    <t>Summary of Expenditures for the Preceding/Current Year</t>
  </si>
  <si>
    <t>Trial Balance &amp; SAOOB verified in the Accounting</t>
  </si>
  <si>
    <t>48</t>
  </si>
  <si>
    <t>ACCOUNTING OFFICE</t>
  </si>
  <si>
    <t>Take charge of both the accounting and internal audit services of the Municipal Government in accordance with RA 7160</t>
  </si>
  <si>
    <t>To safeguard the misuse of funds and improper entry of accounts that does not conform with accounting procedures</t>
  </si>
  <si>
    <t>Organizational Outcome:  We commit ourselves with the willingness to serve with clients with justness and sincerity and shall not discriminate with others. Our service clients are assured with our timely and accurate reports done by a competent and professionaly behaved staff.</t>
  </si>
  <si>
    <t>1000-6-0</t>
  </si>
  <si>
    <t>Prepare statements of cash advances, liquidation, salaries, allowances, reimbursements and remittances</t>
  </si>
  <si>
    <t>General Ledger and Subsidiary Ledger</t>
  </si>
  <si>
    <t>Updated general ledger and subsidiary ledger</t>
  </si>
  <si>
    <t>Account for all issued requests for obligations and maintain and keep all records and reports related thereto</t>
  </si>
  <si>
    <t>Registry of Allotment and Obligation for Personal Services, RAO for Maintenance and Operation Expenses, and RAO for Capital Outlay</t>
  </si>
  <si>
    <t>Timely submission of quarterly reports regarding RAOPS, RAAMOE and RAOCO</t>
  </si>
  <si>
    <t>Quarterly posting of RAOPS, RAOMOE and RAOCO</t>
  </si>
  <si>
    <t>Preparation of all Financial Statements and Reports</t>
  </si>
  <si>
    <t>Trial Balance, Income Statement, Balance Sheet, Statement of Cash Flows</t>
  </si>
  <si>
    <t>Timely submission and reporting of said financial statements</t>
  </si>
  <si>
    <t>Quarterly reporting and submission of said Financial Statements</t>
  </si>
  <si>
    <t>Accounting services to all 21 Barangay Transactions</t>
  </si>
  <si>
    <t>Financial Statements of 21 Barangays</t>
  </si>
  <si>
    <t>Smooth flow of transactions of all 21 Barangays</t>
  </si>
  <si>
    <t>49</t>
  </si>
  <si>
    <t>MUNICIPAL TREASURER'S OFFICE</t>
  </si>
  <si>
    <t>Supervise collection of taxes, fees and other revenues and the disbursement of public funds.</t>
  </si>
  <si>
    <t>A Municipality with prosperous and well-oriented citizentry with a Treasury Office supporting the LGU through viable and cost effective revenue and fund management programs to ensure provisions of sufficient and sustainable needs.</t>
  </si>
  <si>
    <t>To provide excellent resource collection and fund management services in the utilization of public funds annd resources leading to organizational productivity and consequently uplift the people's standard of living.</t>
  </si>
  <si>
    <t>Organizational Outcome:  To institutionalize the best practices in revenue generation and resource collection to ensure fiscal adequacy and eventually accomplish goals.</t>
  </si>
  <si>
    <t>1000-7-0</t>
  </si>
  <si>
    <t>Remittance of daily collections</t>
  </si>
  <si>
    <t>Payment of vouchers, payrolls and statutory obligations of the municipality</t>
  </si>
  <si>
    <t>All approved vouchers, payrolls and statutory obligations were paid upon encashment of checks</t>
  </si>
  <si>
    <t>All obligations were paid on time</t>
  </si>
  <si>
    <t>Advice the Mayor and the Sangguniang Bayan regarding the financial disposition of the LGU</t>
  </si>
  <si>
    <t>Book of accounts and ledgers of all municipal transactions were properly recorded and updated</t>
  </si>
  <si>
    <t>Regular updating of book of accounts and ledgers of all municipal transactions</t>
  </si>
  <si>
    <t>Monitor and supevise all personnel involved in revenue collections</t>
  </si>
  <si>
    <t>Efficient remittance vis a vis official receipts issued to tax collectors</t>
  </si>
  <si>
    <t>Slight discrepancy on the income estimate and actual income for the year</t>
  </si>
  <si>
    <t>50</t>
  </si>
  <si>
    <t>MUNICIPAL ASSESSOR'S OFFICE</t>
  </si>
  <si>
    <t>Ensure that all laws and policies governing the appraisal and assessment of real properties for taxation purposes are properly executed.</t>
  </si>
  <si>
    <t>1000-8-0</t>
  </si>
  <si>
    <t>Appraisal and assessment of Real Properties</t>
  </si>
  <si>
    <t>System of tax mapping, showing graphically all properties subject to assessment and gather all data concerning the same.</t>
  </si>
  <si>
    <t>Tax declarations and other related documents are reviewed, examined and approved</t>
  </si>
  <si>
    <t>100% assessment and appraisal of RP</t>
  </si>
  <si>
    <t>Issuance of certified copies of assessment records of real property and all other records relative to its assessment</t>
  </si>
  <si>
    <t>Tax declaration and certified photo copies of related assessment documents</t>
  </si>
  <si>
    <t>100% accuracy on all documents issued</t>
  </si>
  <si>
    <t>Updates on tax maps</t>
  </si>
  <si>
    <t>Tax map</t>
  </si>
  <si>
    <t>scheduled inspection are conducted</t>
  </si>
  <si>
    <t>Monthly/quarterly/annually submission of report of all assessments, cancellations and modifications of assessments</t>
  </si>
  <si>
    <t>Reportorial services</t>
  </si>
  <si>
    <t>submission of report on time</t>
  </si>
  <si>
    <t>Per semester</t>
  </si>
  <si>
    <t>51</t>
  </si>
  <si>
    <t>ENGINEERING'S OFFICE</t>
  </si>
  <si>
    <t>Administer, coordinate, supervise and control the construction, maintenance, improvement, and repair of roads, bridges, and other engineering and public work projects</t>
  </si>
  <si>
    <t>Our department is responsible for ensuring safety, reliability, and quality and satisfies the minimum requirements set by the P.D.1096</t>
  </si>
  <si>
    <t>Committed to promote and implement our vision the best of outmost services</t>
  </si>
  <si>
    <t>Organizational Outcome:  Provide engineering services to the LGU including investigation and survey, engineering designs, feasibility studies, and project management</t>
  </si>
  <si>
    <t>1000-9-0</t>
  </si>
  <si>
    <t>Maintenance of roads and bridges; parks and plaza; and motorpool</t>
  </si>
  <si>
    <t>Work performance</t>
  </si>
  <si>
    <t>Well-maintained public works and facilities</t>
  </si>
  <si>
    <t>Building management, inspection of buildings and electrical installations.</t>
  </si>
  <si>
    <t>Building permit and electrical permit</t>
  </si>
  <si>
    <t>Number of issued building permit and electrical permit</t>
  </si>
  <si>
    <t>Prepare plans, specifications, and bill of materials and estimates of the city’s projects.</t>
  </si>
  <si>
    <t>Program of work</t>
  </si>
  <si>
    <t>Number of public works implemented</t>
  </si>
  <si>
    <t>Conduct regular inspections of all on-going projects to ensure that work is done in accordance with the approved plans and specifications</t>
  </si>
  <si>
    <t>Projects fully Implemented</t>
  </si>
  <si>
    <t>100% supervision of all on-going projects of the city</t>
  </si>
  <si>
    <t>52</t>
  </si>
  <si>
    <t>MUNICIPAL SOCIAL WELFARE AND DEVELOPMENT OFFICE</t>
  </si>
  <si>
    <t>Municipal Social Welfare and Development Office is committed to the care, protection and rehabilitation of the segment of the population (to individual, family and community) who has least in life and need social welfare assistance and social work intervention in order to restore their normal functioning and become participative members in the community.</t>
  </si>
  <si>
    <t>We envision Asingan to be a society where the poor, the vulnerable and disadvantaged individuals, families and communities have an access for an improved quality of life inhabited with empowered citizenry to become self-reliant.</t>
  </si>
  <si>
    <t>To provide social protection, promote the rights and welfare of the poor, the vulnerable and the disadvantaged individuals, families and communities to contribute to poverty alleviations and empowerment thru the Social Welfare Development policies, programs, projects and service in coordination with the National Government Organization and Non Government Organization and other Member of the Civil Society.</t>
  </si>
  <si>
    <t>Organizational Outcome:  To indentify the basic needs of the needy and disadvantaged and the impoverished and develop and implement appropriate measures to alleviate their problems and improve their living conditions.</t>
  </si>
  <si>
    <t>1000-10-0</t>
  </si>
  <si>
    <t>Support for Solo Parents</t>
  </si>
  <si>
    <t>Conduct of Day Care Mass Recognition</t>
  </si>
  <si>
    <t>Emergency Shelter Assistance</t>
  </si>
  <si>
    <t>Municipal Social Welfare and Development Officer</t>
  </si>
  <si>
    <t>54</t>
  </si>
  <si>
    <t>DEPARTMENT OF AGRICULTURE</t>
  </si>
  <si>
    <t>Ensure the delivery of basic services and provision of adequate facilities relative to agricultural services</t>
  </si>
  <si>
    <t>Envisioned to be a center of agro-industrial development and educational advancement, a city with viable solid waste management, admirable traffic system, sustainable social services and equitable opportunity and a community of God-loving, well-disciplined, self-reliant, and development oriented people.</t>
  </si>
  <si>
    <t>Commited to provide adequate infrastracture and basic social services to promote healthy and safe environment, to practice good governance and dynamic leadership in ensuring political stability and economic self-sufficiency and to promote people participation in policy formulation and project implementation.</t>
  </si>
  <si>
    <t xml:space="preserve">Organizational Outcome:  Assist in making available the appropriate technology arising out of and disseminating information on basic research on crops, prevention and control of plant diseases and pests, </t>
  </si>
  <si>
    <t>and other agricultural matters which will maximize productivity</t>
  </si>
  <si>
    <t>1000-11-0</t>
  </si>
  <si>
    <t>Support Services</t>
  </si>
  <si>
    <t>Better Services</t>
  </si>
  <si>
    <t>A. RICE</t>
  </si>
  <si>
    <t>a. Farmers Field School on Integrated Pest Management (Palay Check) Wet Season</t>
  </si>
  <si>
    <t xml:space="preserve">1 Farmer Field School on Wet Season with 30 participants and 1 farmer cooperator for Technology demonstration.          </t>
  </si>
  <si>
    <t xml:space="preserve">Classes conducted in 16 meetings </t>
  </si>
  <si>
    <t>30 farmers</t>
  </si>
  <si>
    <t xml:space="preserve">   One half hectare (0.5) Techno-Demo Farm</t>
  </si>
  <si>
    <t>Implemented</t>
  </si>
  <si>
    <t>Research Field</t>
  </si>
  <si>
    <t>1 farmer cooperator</t>
  </si>
  <si>
    <t xml:space="preserve">   Farmers Field School on Integrated Pest Management (Palay Check) Dry Season</t>
  </si>
  <si>
    <t xml:space="preserve">1 Farmer Field School on Dry Season with 30 participants and 1 farmer cooperator for Technology demonstration.        </t>
  </si>
  <si>
    <t>b. Massive Rat Control</t>
  </si>
  <si>
    <t>Conducted briefing &amp; baiting within 21 barangay infested by rats. 1,000 sachets of zinc phospide were distributed.                                             Implemented.</t>
  </si>
  <si>
    <t>Massive baiting</t>
  </si>
  <si>
    <t>21 barangays</t>
  </si>
  <si>
    <t>B. CORN PRODUCTION</t>
  </si>
  <si>
    <t xml:space="preserve">   Farmers Field School on Integrated Crop Management for Corn Cum Good Agricultural Practices</t>
  </si>
  <si>
    <t xml:space="preserve">1 Farmer Field School on Wet Season with 30 participants and 1 farmer cooperator for Technology demonstration.        </t>
  </si>
  <si>
    <t>Classes conducted in 20 meetings</t>
  </si>
  <si>
    <t>C. VEGETABLE PRODUCTION</t>
  </si>
  <si>
    <t>a. Distribution of assorted vegetable seeds</t>
  </si>
  <si>
    <t>30,000 packs of vegetable seeds were distributed to 21 barangays &amp; public schools.                   Implemented.</t>
  </si>
  <si>
    <t>Distributed assorted vegetable seeds to farm, schools and community gardens</t>
  </si>
  <si>
    <t>30,000 packs of vegetable seeds</t>
  </si>
  <si>
    <t xml:space="preserve">   Plastic bags for packing</t>
  </si>
  <si>
    <t>b. Distribution of papaya hybrid seedlings</t>
  </si>
  <si>
    <t>Farm ready papaya seedlings were distributed to 21 barangays                  Implemented</t>
  </si>
  <si>
    <t>Distributed papaya seedlings to farm families</t>
  </si>
  <si>
    <t xml:space="preserve">2,547  papaya seedlings </t>
  </si>
  <si>
    <t>c. Farmer Field School on Integrated Pest Management for lowland vegetable production</t>
  </si>
  <si>
    <t xml:space="preserve">1 Farmer Field School on Integrated Pest Management for Lowland Vegetable Production                      </t>
  </si>
  <si>
    <t>Classes conducted in 16 meetings</t>
  </si>
  <si>
    <t>D. LIVESTOCK AND POULTRY PRODUCTION</t>
  </si>
  <si>
    <t>a. Procurement of Vaccine &amp; Dewormer</t>
  </si>
  <si>
    <t xml:space="preserve">    a1. Hemorrhagic Septicemia 24 bottles @ 150 ml.</t>
  </si>
  <si>
    <t>Vaccination of large &amp; small ruminants conducted within 21 barangays.                              Implemented.</t>
  </si>
  <si>
    <t>Massive vaccination 2x a year</t>
  </si>
  <si>
    <t>Large &amp; small ruminants in 21 barangays</t>
  </si>
  <si>
    <t xml:space="preserve">    a2. Dewormer (Albendazole) 95 liters</t>
  </si>
  <si>
    <t>Large &amp; small ruminants within 21 barangays were dewormed.                                        Implemented.</t>
  </si>
  <si>
    <t>Massive Deworming</t>
  </si>
  <si>
    <t>Large animals &amp; small ruminants in 21 barangays</t>
  </si>
  <si>
    <t xml:space="preserve">    a3. Anti-rabies 350 vials</t>
  </si>
  <si>
    <t>3,500 puppies/dogs, cats  within 21 barangays were vaccinated.          Implemented.</t>
  </si>
  <si>
    <t>Massive vaccination</t>
  </si>
  <si>
    <t>3,500 puppies/dogs, cats in 21 barangays</t>
  </si>
  <si>
    <t>b. Farmers Livestock School on Integrated Goat Management</t>
  </si>
  <si>
    <t>1 Farmer Field School on Farmer Livestock School on Integrated Goat Management</t>
  </si>
  <si>
    <t>Classes conducted in 21 meetings</t>
  </si>
  <si>
    <t>E. FISH PRODUCTION</t>
  </si>
  <si>
    <t>Dispersal of Tilapia Fingerlings</t>
  </si>
  <si>
    <t>200,000 fingerlings dispersed to communal bodies of water within the Municipality</t>
  </si>
  <si>
    <t>Dispersal</t>
  </si>
  <si>
    <t>10 Communal bodies of water within the Municipality</t>
  </si>
  <si>
    <t>F. Municipal Agriculturist, Agricultural Technologies attending conventions, congress, trainings and seminars</t>
  </si>
  <si>
    <t>Attending Meetings Conferences and Seminars</t>
  </si>
  <si>
    <t>Attend meetings, conferences, seminars/conventions</t>
  </si>
  <si>
    <t>56</t>
  </si>
  <si>
    <t>57</t>
  </si>
  <si>
    <t>MUNICIPAL HEALTH OFFICE</t>
  </si>
  <si>
    <t>To provide quality health services to everyone</t>
  </si>
  <si>
    <t>Healthy Asinganians through a unified and coordinate health system which is readily available and provided by skilled, compassionate, trained and empowered health providers</t>
  </si>
  <si>
    <t>Universal Health Coverage with Systematic and Holistic Community Health Management for all</t>
  </si>
  <si>
    <t>Organizational Outcome:  Satisfied clients who have availed of Basic Health Services for the Prevention and Control of Diseases and Promotion of Complete Physical and Mental Well Being</t>
  </si>
  <si>
    <t>1000-12</t>
  </si>
  <si>
    <t>A. Infectious Disease Control</t>
  </si>
  <si>
    <t>General Medical Service</t>
  </si>
  <si>
    <t xml:space="preserve">    TB</t>
  </si>
  <si>
    <t>Sputum Smear (+), x-ray (+) diagnosed and treated</t>
  </si>
  <si>
    <t xml:space="preserve">    Leprosy</t>
  </si>
  <si>
    <t>Case diagnosed and treated</t>
  </si>
  <si>
    <t xml:space="preserve">    Leptospirosis</t>
  </si>
  <si>
    <t xml:space="preserve">    Dengue</t>
  </si>
  <si>
    <t>Larvae Survey</t>
  </si>
  <si>
    <t>B. Family Health</t>
  </si>
  <si>
    <t>Maternal and Child Care</t>
  </si>
  <si>
    <t xml:space="preserve">    1. EPI (Expanded Immunization Program)</t>
  </si>
  <si>
    <t xml:space="preserve">        a. FIC (Fully Immunized Child)</t>
  </si>
  <si>
    <t>BCG, Hep B, Penta 1, 2, 3, PCV 1, 2, 3</t>
  </si>
  <si>
    <t xml:space="preserve">        b. FIM (Fully Immunized Mother)</t>
  </si>
  <si>
    <t>OPV1, OPV2, OPV3, IPV, AMV,MMR, Rota 1, 2</t>
  </si>
  <si>
    <t xml:space="preserve">    2. Rabies Control Program</t>
  </si>
  <si>
    <t>Medical assistance to victims</t>
  </si>
  <si>
    <t>ARV/ERIG given</t>
  </si>
  <si>
    <t xml:space="preserve">    3. CARI (Control Acute Respiratory Infection)</t>
  </si>
  <si>
    <t>Pneumonia cases diagnosed and treated</t>
  </si>
  <si>
    <t xml:space="preserve">    4. CDD (Control of Diarrhea Diseases)</t>
  </si>
  <si>
    <t>Diagnosed and treated</t>
  </si>
  <si>
    <t xml:space="preserve">    5. MCH (Maternal &amp; Child Health)</t>
  </si>
  <si>
    <t>Pre-natal and Post natal check-up, vitamins and vaccines given</t>
  </si>
  <si>
    <t xml:space="preserve">        a. Pre-natal Check-up given</t>
  </si>
  <si>
    <t xml:space="preserve">        b. Deliveries</t>
  </si>
  <si>
    <t xml:space="preserve">        c. Post-partum Home visit</t>
  </si>
  <si>
    <t xml:space="preserve">        d. Post-partum Clinic Visit</t>
  </si>
  <si>
    <t xml:space="preserve">    6. Women's Health/Family Planning</t>
  </si>
  <si>
    <t>Pills given, IUD inserted, injection, Operation Timbang done, micronutrient supplement, deworming done</t>
  </si>
  <si>
    <t xml:space="preserve">    7. Nutrition Program</t>
  </si>
  <si>
    <t>58</t>
  </si>
  <si>
    <t xml:space="preserve">    8. Dental Program</t>
  </si>
  <si>
    <t>tooth extraction</t>
  </si>
  <si>
    <t>C. Non-Communicable/Degenarative Diseases</t>
  </si>
  <si>
    <t>Health promotion, breats exam, pap-smear, anti-smoking drive or YOSI Kadiri</t>
  </si>
  <si>
    <t xml:space="preserve">    1. CVD/Cancer (Cardiovascular Disease)</t>
  </si>
  <si>
    <t xml:space="preserve">    2. Visual Health Program</t>
  </si>
  <si>
    <t>D. Environment Health</t>
  </si>
  <si>
    <t>Compliance with the Sanitation Code</t>
  </si>
  <si>
    <t>Water Sampling &amp; Inspection</t>
  </si>
  <si>
    <t xml:space="preserve">    1. Environment Health Program</t>
  </si>
  <si>
    <t xml:space="preserve">        a. Water Supply Chlorination</t>
  </si>
  <si>
    <t xml:space="preserve">        b. Water Samples Collection</t>
  </si>
  <si>
    <t xml:space="preserve">        c. Food Establishment Inspection</t>
  </si>
  <si>
    <t>Inspection of food establishment, issuance of health &amp; sanitary certificate, training of food handlers, operators. Deworming of cooks &amp; helpers</t>
  </si>
  <si>
    <t>Quarterly</t>
  </si>
  <si>
    <t>E. Renal Disease Control Program (REDCOP)</t>
  </si>
  <si>
    <t>Health promotion, prevention</t>
  </si>
  <si>
    <t>F. Attend meetings, seminars, conference, convention</t>
  </si>
  <si>
    <t>59</t>
  </si>
  <si>
    <t xml:space="preserve">OFFICE OF THE LOCAL DISASTER RISK REDUCTION MANAGEMENT </t>
  </si>
  <si>
    <t>RA 10121 Section 11 Organization of the Disaster Coordinating Council at the Local Government Level</t>
  </si>
  <si>
    <t>A Disaster Risk Reduction Management Council effectively and efficiently responding to the needs of the community in times of natural and man-made calamities</t>
  </si>
  <si>
    <t>To protect the community by addressing disaster preparedness, mitigation, response, rehabilitation and climate change to ensure a disaster resilient municipality</t>
  </si>
  <si>
    <t>Organizational Outcome:  Provide immediate information and response to the community in times of calamities and disaster</t>
  </si>
  <si>
    <t>1000-13-0</t>
  </si>
  <si>
    <t>A. Training of BDRRMCs/BDC on Disaster Preparedness via ToT</t>
  </si>
  <si>
    <t>Better grasp of the community about disaster</t>
  </si>
  <si>
    <t xml:space="preserve">21 Barangays </t>
  </si>
  <si>
    <t>B. IEC Campaign</t>
  </si>
  <si>
    <t>A. Organization od ADRU (Asingan Disaster Response Unit)</t>
  </si>
  <si>
    <t>Enhance response on Pre and Post Disaster</t>
  </si>
  <si>
    <t>More prompt reaction in times of calamities</t>
  </si>
  <si>
    <t>1 ADRU</t>
  </si>
  <si>
    <t>B. Organization of Barangay Disaster Volunteers</t>
  </si>
  <si>
    <t>C. Trainings &amp; Seminars of the ADRU and BDV</t>
  </si>
  <si>
    <t>100% Trainings &amp; Seminars</t>
  </si>
  <si>
    <t>D. Facilitate Memorandum of Agreement with transport groups</t>
  </si>
  <si>
    <t>100% Transport Groups</t>
  </si>
  <si>
    <t xml:space="preserve">E. Establishment of Municipality wide disaster alarm system </t>
  </si>
  <si>
    <t>100% Municipality Wide</t>
  </si>
  <si>
    <t>A. Additional/Essential equipments of the LDRRM</t>
  </si>
  <si>
    <t>Complete set of tools and equipments for LDRRM during calamity and disaster response</t>
  </si>
  <si>
    <t>More effective and efficient disaster response</t>
  </si>
  <si>
    <t>100% of Equipments</t>
  </si>
  <si>
    <t>Multi-level building rescue</t>
  </si>
  <si>
    <r>
      <t xml:space="preserve">          </t>
    </r>
    <r>
      <rPr>
        <sz val="11"/>
        <rFont val="Calibri"/>
        <family val="2"/>
      </rPr>
      <t>•</t>
    </r>
    <r>
      <rPr>
        <sz val="11"/>
        <rFont val="Arial Narrow"/>
        <family val="2"/>
      </rPr>
      <t xml:space="preserve">  boom truck</t>
    </r>
  </si>
  <si>
    <t>A.Technical Assistance to BDRRMC/BDC in formulation of Barangay DRRM Plan</t>
  </si>
  <si>
    <t>Strengthening Community Protection and resilience to disaster</t>
  </si>
  <si>
    <t>Enhanced manual and more established standard operating procedure on calamities and disaster</t>
  </si>
  <si>
    <t>B. Compilation of Barangay DRRM Plan</t>
  </si>
  <si>
    <t>100% BDRRM Plan</t>
  </si>
  <si>
    <t>C. Formulation or Review of MDRRM Plan</t>
  </si>
  <si>
    <t>Stengthening Community Protection and resilience to disaster</t>
  </si>
  <si>
    <t>75% MDRRM Plan</t>
  </si>
  <si>
    <t>A. Continuing Repair/Maintenance of Earthdike Protection</t>
  </si>
  <si>
    <t>Community Safety and Protection</t>
  </si>
  <si>
    <t>Flood Prevention</t>
  </si>
  <si>
    <t>50% Earthdike Protection</t>
  </si>
  <si>
    <t>25% of alll Canals and Esteros</t>
  </si>
  <si>
    <t>68</t>
  </si>
  <si>
    <t>ECONOMIC ENTERPRISE MANAGEMENT-MARKET</t>
  </si>
  <si>
    <t>To exercise general supervision and control over the market and slaughterhouse</t>
  </si>
  <si>
    <t>Envisioned to be a center of agro-industrial development, a municipality with viable solid waste management, sustainable social services and equitable opportunity and a community of God-loving, well-disciplined, self-reliant, and development oriented people.</t>
  </si>
  <si>
    <t>To promote and safeguard the health, welfare and safety of the general public through provision of relatively good infrastructure facilities, regular and quality maintenance, address clientele satisfaction by honest, transparent, dedicated public servant and engage in self-sustaining economic activities</t>
  </si>
  <si>
    <t>Organizational Outcome:  Provide safe and clean market and slaughterhouse  to the Asinganians</t>
  </si>
  <si>
    <t>1000-1-1</t>
  </si>
  <si>
    <t>Issuance of Mayor's Permit/Business Permit</t>
  </si>
  <si>
    <t>Mayor's Permit/Business Permit Issued</t>
  </si>
  <si>
    <t>Abstract of Collections</t>
  </si>
  <si>
    <t xml:space="preserve">100% Satisfaction </t>
  </si>
  <si>
    <t>Branding of large cattle</t>
  </si>
  <si>
    <t>Meat Inspection and collection of slaugther's fee</t>
  </si>
  <si>
    <t>100% Collection</t>
  </si>
  <si>
    <t>Cash Tickets Collection</t>
  </si>
  <si>
    <t>Collection of Monthly Stall Rentals</t>
  </si>
  <si>
    <t>Meter reading, billing and collection of power consumption of stallholders</t>
  </si>
  <si>
    <t>Cleaning and disinfection of market and slaughterhouse premises</t>
  </si>
  <si>
    <t>Premises physical appearance</t>
  </si>
  <si>
    <t>100% Satisfaction  of constituents</t>
  </si>
  <si>
    <t>Collection and disposal of garbage</t>
  </si>
  <si>
    <t>Sealing &amp; licensing of weights and measure</t>
  </si>
  <si>
    <t>100% Implementation</t>
  </si>
  <si>
    <t>Attend meetings, seminars, conferences, conventions</t>
  </si>
  <si>
    <t>Re-echo of seminars, trainings, etc.</t>
  </si>
  <si>
    <t>4-6 Seminars, Trainings, etc.</t>
  </si>
  <si>
    <t>69</t>
  </si>
  <si>
    <t>Add: LDRRMF Market</t>
  </si>
  <si>
    <t>CARLOS F. LOPEZ, JR.</t>
  </si>
  <si>
    <t>JOSELITO V. VIRAY</t>
  </si>
  <si>
    <t>27/1</t>
  </si>
  <si>
    <t>25/1</t>
  </si>
  <si>
    <t>KIMA I. SIROT</t>
  </si>
  <si>
    <t>LEONARD M. ALMEROL</t>
  </si>
  <si>
    <t>Rate/Annum 2020</t>
  </si>
  <si>
    <t>HON. CARLOS F. LOPEZ, JR.</t>
  </si>
  <si>
    <t>HON. HEIDEE GANIGAN-CHUA</t>
  </si>
  <si>
    <t>ENGR. CARLOS F. LOPEZ, JR.</t>
  </si>
  <si>
    <t xml:space="preserve">               Municipal Mayor</t>
  </si>
  <si>
    <t>5/3</t>
  </si>
  <si>
    <t>4/5</t>
  </si>
  <si>
    <t>10/6</t>
  </si>
  <si>
    <t>2/2</t>
  </si>
  <si>
    <t>13/2</t>
  </si>
  <si>
    <t>JOHNNY MAR A. CARIG</t>
  </si>
  <si>
    <t>RODHEL M. SERAFICA</t>
  </si>
  <si>
    <t>JETHRO ALEXIS O. MONCE</t>
  </si>
  <si>
    <t>JOHN C. GOROSPE</t>
  </si>
  <si>
    <t>AMADO P. MONTEMAYOR</t>
  </si>
  <si>
    <t>BERNARD B. VARGAS</t>
  </si>
  <si>
    <t>GENEMARK S. GUILLERMO</t>
  </si>
  <si>
    <t>2020</t>
  </si>
  <si>
    <t>IT Equipment &amp; Software-Desktop &amp; Laptop</t>
  </si>
  <si>
    <t>Aid to POSG</t>
  </si>
  <si>
    <t>9997-15</t>
  </si>
  <si>
    <t>- Presented during sessions</t>
  </si>
  <si>
    <t>Organizational Outcome:  We commit ourselves with the willingness to serve with clients with justness and sincerity and shall not discriminate with others. Our service clients are assured with our timely and accurate reports done by a competent and professionally behaved staff</t>
  </si>
  <si>
    <t>Report of Collection and Deposit (RCD)</t>
  </si>
  <si>
    <t>Disbursement Vouchers, Checks and Payrolls</t>
  </si>
  <si>
    <t>e-SRE Report</t>
  </si>
  <si>
    <t>Efficient revenue collectors</t>
  </si>
  <si>
    <t>Daily collections were remitted and deposited in the bank everyday</t>
  </si>
  <si>
    <t>The Municipal Assesor's Office is a realty tax department that commits to attain maximum efficiency in the appraisal and assessment of real properties for taxation purposes whose delivery systems are designed to the highest standards and whose employees are adopting the principles of professionalism for the taxpayer and clientele satisfaction in providing quality service.</t>
  </si>
  <si>
    <t>To implement the innovative changes in systems, policies and procedures provided by law in order to generate sustainable revenues from realty taxes with minimal cost to the Local Government Unit and with due care and convenience to taxpayers and the clientele.</t>
  </si>
  <si>
    <t>To ensure that the phil. Public Accounting Standards are strictly followed</t>
  </si>
  <si>
    <t>10K</t>
  </si>
  <si>
    <t>5K</t>
  </si>
  <si>
    <t>Other Structures</t>
  </si>
  <si>
    <t>Construction of Multi-Purpose Shed &amp; Concrete Pavement at D.A. office</t>
  </si>
  <si>
    <t>Multi-Purpose Shed &amp; Concrete Pavement</t>
  </si>
  <si>
    <t>1-07-04-020</t>
  </si>
  <si>
    <t>School Building</t>
  </si>
  <si>
    <t>Aid to Senior Citizens</t>
  </si>
  <si>
    <t>9997-16</t>
  </si>
  <si>
    <t>1</t>
  </si>
  <si>
    <t>2</t>
  </si>
  <si>
    <t>Conduct of Parents Educational Congress to Parents of CICL, CAR and Pre-Schoolers in the Child Development Centers</t>
  </si>
  <si>
    <t>Aid to Legal Consultant</t>
  </si>
  <si>
    <t>Aid to PWD</t>
  </si>
  <si>
    <t>Financial Assistance to Students (PSU &amp; UCU)</t>
  </si>
  <si>
    <t>9997-17</t>
  </si>
  <si>
    <t>Management Officer I</t>
  </si>
  <si>
    <t>BUDGET YEAR 2021</t>
  </si>
  <si>
    <t>STATEMENT OF STATUTORY AND CONTRACTUAL OBLIGATIONS AND BUDGETARY REQUIREMENTS CY 2021</t>
  </si>
  <si>
    <t>STATEMENT OF FUND ALLOCATION BY SECTOR CY 2021</t>
  </si>
  <si>
    <t>1011-24</t>
  </si>
  <si>
    <t>1011-25</t>
  </si>
  <si>
    <t>1011-26</t>
  </si>
  <si>
    <t>1011-27</t>
  </si>
  <si>
    <t>1011-28</t>
  </si>
  <si>
    <t>1011-30</t>
  </si>
  <si>
    <t>PERSONNEL SCHEDULE  CY 2021</t>
  </si>
  <si>
    <t>Rate/Annum 2021</t>
  </si>
  <si>
    <t>LBC 121</t>
  </si>
  <si>
    <t>14/6</t>
  </si>
  <si>
    <t>7/5</t>
  </si>
  <si>
    <t>5/1</t>
  </si>
  <si>
    <t>ROGER N. AQUINO</t>
  </si>
  <si>
    <t>24/5</t>
  </si>
  <si>
    <t>12/2</t>
  </si>
  <si>
    <t>RAQUEL A. GONATICE</t>
  </si>
  <si>
    <t>JASTINE R. ALMONTE</t>
  </si>
  <si>
    <t>18/5</t>
  </si>
  <si>
    <t>3/5</t>
  </si>
  <si>
    <t>Other Bonuses and Allowances (PBB)</t>
  </si>
  <si>
    <t>Other Personnel Benefits (SRI)</t>
  </si>
  <si>
    <t>SPA</t>
  </si>
  <si>
    <t>Survey Expenses</t>
  </si>
  <si>
    <t>Construction of Multi-purpose Hall-Palaris</t>
  </si>
  <si>
    <t>Construction of School Gate-Carosucan Sur National High School</t>
  </si>
  <si>
    <t>Construction of School Gate-Ariston East</t>
  </si>
  <si>
    <t>Construction of Stage Domanpot Community School</t>
  </si>
  <si>
    <t>Concreting of School Ground-Domanpot Community School</t>
  </si>
  <si>
    <t>Improvement of Rizal Monument</t>
  </si>
  <si>
    <t xml:space="preserve">Repainting of Library-Repair of gutters/Comfort Rooms </t>
  </si>
  <si>
    <t>Installation of Garden Light-People's Park</t>
  </si>
  <si>
    <t>Continuation of Wing Span@Sanchez-Cabalitian Elementary School</t>
  </si>
  <si>
    <t>Rehabilitation of Streetlights (Solar)-Macalong</t>
  </si>
  <si>
    <t>Concreting of School Ground @Toboy High School</t>
  </si>
  <si>
    <t>Construction of Multi-Purpose Hall @Barangay Baro</t>
  </si>
  <si>
    <t>Construction of School Gate @North Central School</t>
  </si>
  <si>
    <t>Subsistence Allowance</t>
  </si>
  <si>
    <t>Purchase of Patrol Motorcycle w/ Accessories</t>
  </si>
  <si>
    <t>Purchase of Ambulance (Additional)</t>
  </si>
  <si>
    <t>Construction of Multi-Purpose Hall-San Vicente East</t>
  </si>
  <si>
    <t>Rehabilitation of Meat Section @Public Market</t>
  </si>
  <si>
    <t>Construction of Solar Streetlights-Palaris</t>
  </si>
  <si>
    <t>Construction of Solar Streetlights-Domanpot</t>
  </si>
  <si>
    <t>Continuation of the Construction of Ariston East Multi-Purpose Hall</t>
  </si>
  <si>
    <t>Construction of Multi-Purpose Hall-Bobonan Elementary School</t>
  </si>
  <si>
    <t>Additional Funding for the Construction of LDRRM Office</t>
  </si>
  <si>
    <t>Renovation of Kiosk-People's Park</t>
  </si>
  <si>
    <t>Concreting infront of Mayor Franciso A. Sapigao, Sr. Memorial Sports and Cultural Center</t>
  </si>
  <si>
    <t>1011-29</t>
  </si>
  <si>
    <t>1011-31</t>
  </si>
  <si>
    <t>1011-32</t>
  </si>
  <si>
    <t>1011-33</t>
  </si>
  <si>
    <t>1011-34</t>
  </si>
  <si>
    <t>1011-35</t>
  </si>
  <si>
    <t>1011-36</t>
  </si>
  <si>
    <t>1011-37</t>
  </si>
  <si>
    <t>1011-38</t>
  </si>
  <si>
    <t>1011-39</t>
  </si>
  <si>
    <t>Mandate, Vision/Mission, Major Final Output, Performance Indicators and Targets CY 2021</t>
  </si>
  <si>
    <t>Proposed Budget for the Year 2021</t>
  </si>
  <si>
    <t>Proposed Budget for the year 2021</t>
  </si>
  <si>
    <t>100% of procurement are done in accordance with the APP and RA 9184 in the year 2021</t>
  </si>
  <si>
    <t>Implemented within the year 2021 as far as developmental PAP's are concerned under 20% of IRA, LDRRMP, GAD, and other sources of funds</t>
  </si>
  <si>
    <t>Completed within 2021</t>
  </si>
  <si>
    <t>Proposed Budget for the Budget  Year 2021</t>
  </si>
  <si>
    <t>January 2021-December 2021</t>
  </si>
  <si>
    <t>January-December, 2021</t>
  </si>
  <si>
    <t>C. Training of BHERT's</t>
  </si>
  <si>
    <r>
      <rPr>
        <sz val="11"/>
        <rFont val="Calibri"/>
        <family val="2"/>
      </rPr>
      <t>•</t>
    </r>
    <r>
      <rPr>
        <sz val="11"/>
        <rFont val="Arial Narrow"/>
        <family val="2"/>
      </rPr>
      <t xml:space="preserve"> Increase knowledge in disaster risk, vulnerabilities and response</t>
    </r>
  </si>
  <si>
    <t>• Proper handling of COVID 19 patients</t>
  </si>
  <si>
    <r>
      <rPr>
        <sz val="11"/>
        <rFont val="Calibri"/>
        <family val="2"/>
      </rPr>
      <t xml:space="preserve">• </t>
    </r>
    <r>
      <rPr>
        <sz val="11"/>
        <rFont val="Arial Narrow"/>
        <family val="2"/>
      </rPr>
      <t>Increase awareness on the virulence of COVID 19</t>
    </r>
  </si>
  <si>
    <t>Safe and effective handling of COVID 19 patients</t>
  </si>
  <si>
    <t>F. Establishment of Barangay based isolation facility</t>
  </si>
  <si>
    <t>Abatement of Community Transmission</t>
  </si>
  <si>
    <t>Better Infection Control</t>
  </si>
  <si>
    <t>B. Personal Protective EQPT</t>
  </si>
  <si>
    <t>C. Additional Rescue Vehicle</t>
  </si>
  <si>
    <t>Protected Responders against COVID 19</t>
  </si>
  <si>
    <t>Effective response to vehicle crash extrication</t>
  </si>
  <si>
    <r>
      <t xml:space="preserve">          </t>
    </r>
    <r>
      <rPr>
        <sz val="11"/>
        <rFont val="Calibri"/>
        <family val="2"/>
      </rPr>
      <t>•</t>
    </r>
    <r>
      <rPr>
        <sz val="11"/>
        <rFont val="Arial Narrow"/>
        <family val="2"/>
      </rPr>
      <t xml:space="preserve">  4 x 4 Rescue Vehicle</t>
    </r>
  </si>
  <si>
    <t>Increase response capability</t>
  </si>
  <si>
    <t>D. Integrate Zoning Containments Strategy on handling of COVID 19 Pandemic</t>
  </si>
  <si>
    <t>Operationalizing the Zoning containment strategy</t>
  </si>
  <si>
    <t>Updated frontlliners &amp; responder</t>
  </si>
  <si>
    <t>100% MDRRM Plan</t>
  </si>
  <si>
    <t>B. Canalization &amp; Dredging/Disselting</t>
  </si>
  <si>
    <t>Furniture and Fixtures (Bench, Built-in Cabinets)</t>
  </si>
  <si>
    <t>Formulation of AIP and its supplemental, with focus on COVID related recovery and rehabilitation activities</t>
  </si>
  <si>
    <t>Setting up statistical/IT unit</t>
  </si>
  <si>
    <t>Statistics/I.T. unit installed</t>
  </si>
  <si>
    <t>Statistical/IT service provider</t>
  </si>
  <si>
    <t>4 times a month conducted</t>
  </si>
  <si>
    <t>1-07-03-010</t>
  </si>
  <si>
    <t>Road Networks</t>
  </si>
  <si>
    <t>MELABEL S. LAYOS</t>
  </si>
  <si>
    <t>ERWIN C. RENALDO</t>
  </si>
  <si>
    <t>ROMEO S. ANGELES</t>
  </si>
  <si>
    <t>1-07-05-030</t>
  </si>
  <si>
    <t>Office Equipment (Aircon, Electric Fan, Refrigerator)</t>
  </si>
  <si>
    <t>Office Equipment (TV)</t>
  </si>
  <si>
    <t>Furniture and Fixtures (Aircon)</t>
  </si>
  <si>
    <t>Motor Vehicles-Motorcycle</t>
  </si>
  <si>
    <t>Other Machinery and Equipment-Water Pump</t>
  </si>
  <si>
    <t>Other Transportation Equipment-Bike</t>
  </si>
  <si>
    <t>1-07-06-990</t>
  </si>
  <si>
    <t>Actual Income-General Fund-2019</t>
  </si>
  <si>
    <t>Allowable Personal Services for CY 2021</t>
  </si>
  <si>
    <t>P.S. Appropriation for CY 2021</t>
  </si>
  <si>
    <t>License Inspector II</t>
  </si>
  <si>
    <t>Planning Officer I</t>
  </si>
  <si>
    <t>2021 ANNUAL BUDGET</t>
  </si>
  <si>
    <t>ANNUAL BUDGET CY 2021</t>
  </si>
  <si>
    <t>Department Head I/MPDC</t>
  </si>
  <si>
    <t>Ordinance No. 12-S 2020</t>
  </si>
  <si>
    <t>Ordinance No. 13-S 2020</t>
  </si>
  <si>
    <t>Ordinance No. 11-S 2020</t>
  </si>
  <si>
    <t>ANNUAL BUDGET FOR CY 2021</t>
  </si>
  <si>
    <t>MAYANNE L. PASTOR</t>
  </si>
  <si>
    <t>9997-11</t>
  </si>
  <si>
    <t>9997-13</t>
  </si>
  <si>
    <t>Repairs and Maintenance-Transportation Equipment</t>
  </si>
  <si>
    <t>ENGR. CARLOS. F. LOPEZ, JR.</t>
  </si>
  <si>
    <t>GF &amp; Market</t>
  </si>
  <si>
    <t>Financial Assistance to low income Solo Parents not included in the (4P's) and needs of their children provided</t>
  </si>
  <si>
    <t>Capability Building to Solo Parents conducted</t>
  </si>
  <si>
    <t>Quarterly meeting to Solo Parents conducted</t>
  </si>
  <si>
    <t>Support for Pantawid Pamilya Filipino Program</t>
  </si>
  <si>
    <t>Provision of recognition of children who excel to the conditionalities and co-responsibilities set by the program</t>
  </si>
  <si>
    <t>Exemplary Child Indentified</t>
  </si>
  <si>
    <t>Discovered community gardens that are congruent with the concepts relative to health and nutrition; climate change and environment protection and sustainable income generation that may set standard for future activities and intervention</t>
  </si>
  <si>
    <t>Model Bio-Intensive Gardening were identified and lecture on proper gardening conducted</t>
  </si>
  <si>
    <t>Recognized family beneficiaries of Pantawid Pamilyang Pilipino Program who maintain strong family ties, demonstrated positive Filipino values created positive impart in the community</t>
  </si>
  <si>
    <t>Huwarang Pamilya identified</t>
  </si>
  <si>
    <t>Acquired new knowledge and skills for the implementation of the program and gave recognition to the group of parent leaders that contributed much for the program</t>
  </si>
  <si>
    <t>Capability Building for Parent Leaders and giving recognition to active group of Pantawid Pamilya were conducted</t>
  </si>
  <si>
    <t>Celebrate the meaning of being a family</t>
  </si>
  <si>
    <t>Family Day Celebrated</t>
  </si>
  <si>
    <t>Ehancement for Parenting Skills and the conduct of Lectures in relation to Children and Family</t>
  </si>
  <si>
    <t>Parenting skills and laws in relation to Family and Children were discussed</t>
  </si>
  <si>
    <t>Conduct of Quarterly Meeting of ERPAT    ( Empowerment and Reaffirmation on Paternal Abilities)</t>
  </si>
  <si>
    <t>Provided new updates (knowledge and skills regarding ERPAT and strengthen the organization)</t>
  </si>
  <si>
    <t xml:space="preserve">ERPAT members enhanced knowledge and skills </t>
  </si>
  <si>
    <t>Conduct of Municipal Childrens Congress and Participate in the District and Provincial Childrens Congress</t>
  </si>
  <si>
    <t>Participate and Display of Talents of Children from the different Child Development Center during the Municipal Children's Month Celebration</t>
  </si>
  <si>
    <t>Municipal Children's Congress conducted and Children participated in District and Provincial Congress</t>
  </si>
  <si>
    <t>Children attended Early Childhood Care and Development were recognized</t>
  </si>
  <si>
    <t>Mass Recognition Conducted and Children are recognized</t>
  </si>
  <si>
    <t>Capability Building of Child Development Workers</t>
  </si>
  <si>
    <t xml:space="preserve">Enhance the skills of Child Development Workers on the NELF, preparation of curriculum and updates of the ECCD guidelines </t>
  </si>
  <si>
    <t xml:space="preserve">Child Development Workers were updated on the ECCD Guidelines </t>
  </si>
  <si>
    <t>Conduct Dialogue to Barangay Officials and Day Care Parents Group</t>
  </si>
  <si>
    <t>Conduct of Lectures in the Public High School to Children 13 to 14 years old on the Effect of Vices</t>
  </si>
  <si>
    <t>Awareness of Children in the effects of vices</t>
  </si>
  <si>
    <t>Barangay Officials and Day Care Parents Group are aware of their roles and functions</t>
  </si>
  <si>
    <t>Barangay Officials and Day Care Parents Group became knowledgeable of their roles and fucntions in the Day Care implementation</t>
  </si>
  <si>
    <t>Lectures provided and children became aware of the effects of vices</t>
  </si>
  <si>
    <t>Capability Building to members of Pag-Asa Youth Association</t>
  </si>
  <si>
    <t>Develop  good leadership, skills among the Out of School Youth and awareness on the updates of Pag-Asa Youth Association</t>
  </si>
  <si>
    <t>Strengthened the organization good leadership skill among members were developed and updated of organization</t>
  </si>
  <si>
    <t xml:space="preserve">Capability Building to Women </t>
  </si>
  <si>
    <t xml:space="preserve">Develop a good leadership skills among the members of the women organization </t>
  </si>
  <si>
    <t xml:space="preserve">Strengthened the organization good leadership skill among members developed </t>
  </si>
  <si>
    <t>Conduct of Quarterly Meeting to Women</t>
  </si>
  <si>
    <t>Awareness on the updates of the Women's Welfare and the organization strategies</t>
  </si>
  <si>
    <t>Quarterly meeting conducted and women are updated regarding the Solo Parents Program</t>
  </si>
  <si>
    <t>Assistance to Individuals in Crisis Situation</t>
  </si>
  <si>
    <t>Provision of Financial Assistance to Individual in Crisis</t>
  </si>
  <si>
    <t>Individual in crisis were provided financial assistance</t>
  </si>
  <si>
    <t>Provision of Financial Assistance to victims of natural and man made disaster</t>
  </si>
  <si>
    <t>Victims of disaster provided assistance to augment the financial needs for the repair and reconstruction of their damaged house</t>
  </si>
  <si>
    <t>Provison of Assistance (foods, clothing and other needs) to victims of abused while victim stay in the crisis center</t>
  </si>
  <si>
    <t>Provision of Assistance needed to victim of abused</t>
  </si>
  <si>
    <t>Provison of assistance needed to victim of abused</t>
  </si>
  <si>
    <t>Delivered program to Solo Parents and their children for their financial needs and acquired new knowledge and skills for the implementation of the program</t>
  </si>
  <si>
    <t xml:space="preserve">                Municipal Mayor</t>
  </si>
  <si>
    <t>8</t>
  </si>
  <si>
    <t>Office: OFFICE OF THE SANGGUNIANG BAYAN-1021</t>
  </si>
  <si>
    <t>9</t>
  </si>
  <si>
    <t>Office: OFFICE OF THE M.P.D.C.-1041</t>
  </si>
  <si>
    <t>10</t>
  </si>
  <si>
    <t>Office: OFFICE OF THE MUNICIPAL CIVIL REGISTRAR-1051</t>
  </si>
  <si>
    <t>Municipal Civil Registrar</t>
  </si>
  <si>
    <t>11</t>
  </si>
  <si>
    <t>Office: OFFICE OF THE MUNICIPAL BUDGET OFFICER-1071</t>
  </si>
  <si>
    <t>12</t>
  </si>
  <si>
    <t>Office: OFFICE OF THE MUNICIPAL ACCOUNTANT-1081</t>
  </si>
  <si>
    <t>Office: OFFICE OF THE MUNICIPAL TREASURER-1091</t>
  </si>
  <si>
    <t>14</t>
  </si>
  <si>
    <t>Office: OFFICE OF THE MUNICIPAL ASSESSOR-1101</t>
  </si>
  <si>
    <t xml:space="preserve"> Municipal Assessor</t>
  </si>
  <si>
    <t>15</t>
  </si>
  <si>
    <t>Office: OFFICE OF THE MUNICIPAL ENGINEER-8751</t>
  </si>
  <si>
    <t>16</t>
  </si>
  <si>
    <t>Office: OFFICE OF THE M.S.W.D.O.-7611</t>
  </si>
  <si>
    <t>M.S.W.D.O.</t>
  </si>
  <si>
    <t>17</t>
  </si>
  <si>
    <t>Office: OFFICE OF THE MUNICIPAL AGRICULTURIST-8711</t>
  </si>
  <si>
    <t>Municipal Agriculturist</t>
  </si>
  <si>
    <t>Office: OFFICE OF THE MUNICIPAL HEALTH OFFICER-4411-1</t>
  </si>
  <si>
    <t xml:space="preserve">Municipal Health Officer </t>
  </si>
  <si>
    <t>19</t>
  </si>
  <si>
    <t>Office: OFFICE OF THE MUNICIPAL HEALTH OFFICER-4411-2</t>
  </si>
  <si>
    <t>20</t>
  </si>
  <si>
    <t>Office: OFFICE OF THE LOCAL DISASTER RISK REDUCTION MANAGEMENT OFFICER-9998-1</t>
  </si>
  <si>
    <t>39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</si>
</sst>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m/d/yyyy;@"/>
    <numFmt numFmtId="165" formatCode="mm/dd/yy;@"/>
    <numFmt numFmtId="166" formatCode="#,##0.00\ ;&quot; (&quot;#,##0.00\);&quot; -&quot;#\ ;@\ "/>
  </numFmts>
  <fonts count="66"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8"/>
      <name val="Arial Narrow"/>
      <family val="2"/>
    </font>
    <font>
      <b/>
      <sz val="10"/>
      <name val="Arial"/>
      <family val="2"/>
    </font>
    <font>
      <sz val="8"/>
      <name val="Arial"/>
      <family val="2"/>
    </font>
    <font>
      <b/>
      <sz val="11"/>
      <name val="Arial Narrow"/>
      <family val="2"/>
    </font>
    <font>
      <sz val="8"/>
      <name val="Arial Narrow"/>
      <family val="2"/>
    </font>
    <font>
      <sz val="10"/>
      <name val="Arial"/>
      <family val="2"/>
    </font>
    <font>
      <sz val="8"/>
      <name val="Arial"/>
      <family val="2"/>
    </font>
    <font>
      <sz val="11"/>
      <name val="Arial Narrow"/>
      <family val="2"/>
    </font>
    <font>
      <sz val="10"/>
      <name val="Bodoni MT Black"/>
      <family val="1"/>
    </font>
    <font>
      <sz val="12"/>
      <name val="Arial Narrow"/>
      <family val="2"/>
    </font>
    <font>
      <b/>
      <sz val="12"/>
      <name val="Arial Narrow"/>
      <family val="2"/>
    </font>
    <font>
      <b/>
      <sz val="12"/>
      <name val="Arial"/>
      <family val="2"/>
    </font>
    <font>
      <sz val="11"/>
      <color theme="1"/>
      <name val="Calibri"/>
      <family val="2"/>
      <scheme val="minor"/>
    </font>
    <font>
      <b/>
      <sz val="16"/>
      <name val="Arial Narrow"/>
      <family val="2"/>
    </font>
    <font>
      <sz val="16"/>
      <name val="Arial Narrow"/>
      <family val="2"/>
    </font>
    <font>
      <b/>
      <u/>
      <sz val="18"/>
      <name val="Arial"/>
      <family val="2"/>
    </font>
    <font>
      <b/>
      <u/>
      <sz val="12"/>
      <name val="Arial"/>
      <family val="2"/>
    </font>
    <font>
      <b/>
      <u/>
      <sz val="11"/>
      <name val="Arial"/>
      <family val="2"/>
    </font>
    <font>
      <b/>
      <sz val="12"/>
      <color theme="1"/>
      <name val="Arial Narrow"/>
      <family val="2"/>
    </font>
    <font>
      <sz val="12"/>
      <color theme="1"/>
      <name val="Arial Narrow"/>
      <family val="2"/>
    </font>
    <font>
      <sz val="12"/>
      <color theme="1"/>
      <name val="Arial"/>
      <family val="2"/>
    </font>
    <font>
      <b/>
      <sz val="10"/>
      <color theme="1"/>
      <name val="Arial Narrow"/>
      <family val="2"/>
    </font>
    <font>
      <sz val="10"/>
      <color theme="1"/>
      <name val="Arial"/>
      <family val="2"/>
    </font>
    <font>
      <sz val="10"/>
      <color theme="1"/>
      <name val="Arial Narrow"/>
      <family val="2"/>
    </font>
    <font>
      <b/>
      <sz val="12"/>
      <color theme="1"/>
      <name val="Arial"/>
      <family val="2"/>
    </font>
    <font>
      <b/>
      <sz val="10"/>
      <color theme="1"/>
      <name val="Arial"/>
      <family val="2"/>
    </font>
    <font>
      <b/>
      <sz val="18"/>
      <color theme="1"/>
      <name val="Arial Narrow"/>
      <family val="2"/>
    </font>
    <font>
      <sz val="18"/>
      <color theme="1"/>
      <name val="Arial"/>
      <family val="2"/>
    </font>
    <font>
      <b/>
      <sz val="16"/>
      <color theme="1"/>
      <name val="Arial Narrow"/>
      <family val="2"/>
    </font>
    <font>
      <sz val="8"/>
      <color theme="1"/>
      <name val="Arial"/>
      <family val="2"/>
    </font>
    <font>
      <sz val="11"/>
      <color theme="1"/>
      <name val="Arial Narrow"/>
      <family val="2"/>
    </font>
    <font>
      <b/>
      <sz val="11"/>
      <color theme="1"/>
      <name val="Arial Narrow"/>
      <family val="2"/>
    </font>
    <font>
      <sz val="9"/>
      <color theme="1"/>
      <name val="Arial"/>
      <family val="2"/>
    </font>
    <font>
      <b/>
      <u/>
      <sz val="11"/>
      <color theme="1"/>
      <name val="Arial Narrow"/>
      <family val="2"/>
    </font>
    <font>
      <u/>
      <sz val="12"/>
      <color theme="1"/>
      <name val="Arial Narrow"/>
      <family val="2"/>
    </font>
    <font>
      <b/>
      <sz val="9"/>
      <color theme="1"/>
      <name val="Arial"/>
      <family val="2"/>
    </font>
    <font>
      <sz val="9"/>
      <color theme="1"/>
      <name val="Arial Narrow"/>
      <family val="2"/>
    </font>
    <font>
      <sz val="7"/>
      <color theme="1"/>
      <name val="Arial"/>
      <family val="2"/>
    </font>
    <font>
      <b/>
      <sz val="18"/>
      <name val="Arial Narrow"/>
      <family val="2"/>
    </font>
    <font>
      <sz val="18"/>
      <name val="Arial"/>
      <family val="2"/>
    </font>
    <font>
      <b/>
      <sz val="14"/>
      <name val="Arial Narrow"/>
      <family val="2"/>
    </font>
    <font>
      <b/>
      <sz val="11"/>
      <name val="Arial Black"/>
      <family val="2"/>
    </font>
    <font>
      <sz val="8"/>
      <name val="Verdana"/>
      <family val="2"/>
    </font>
    <font>
      <sz val="11"/>
      <color indexed="8"/>
      <name val="Calibri"/>
      <family val="2"/>
    </font>
    <font>
      <i/>
      <sz val="11"/>
      <name val="Arial Narrow"/>
      <family val="2"/>
    </font>
    <font>
      <b/>
      <sz val="11"/>
      <color theme="1"/>
      <name val="Berlin Sans FB Demi"/>
      <family val="2"/>
    </font>
    <font>
      <sz val="11"/>
      <color theme="1"/>
      <name val="Berlin Sans FB Demi"/>
      <family val="2"/>
    </font>
    <font>
      <i/>
      <sz val="11"/>
      <color theme="1"/>
      <name val="Arial Narrow"/>
      <family val="2"/>
    </font>
    <font>
      <sz val="11"/>
      <name val="Calibri"/>
      <family val="2"/>
    </font>
    <font>
      <b/>
      <sz val="10"/>
      <name val="Arial Narrow"/>
      <family val="2"/>
    </font>
    <font>
      <sz val="7"/>
      <name val="Arial"/>
      <family val="2"/>
    </font>
    <font>
      <b/>
      <sz val="18"/>
      <name val="Arial"/>
      <family val="2"/>
    </font>
    <font>
      <i/>
      <sz val="10"/>
      <name val="Arial Narrow"/>
      <family val="2"/>
    </font>
    <font>
      <i/>
      <sz val="10"/>
      <name val="Arial"/>
      <family val="2"/>
    </font>
    <font>
      <sz val="12"/>
      <name val="Arial"/>
      <family val="2"/>
    </font>
    <font>
      <b/>
      <sz val="8"/>
      <name val="Arial"/>
      <family val="2"/>
    </font>
    <font>
      <i/>
      <sz val="9"/>
      <name val="Arial Narrow"/>
      <family val="2"/>
    </font>
    <font>
      <i/>
      <sz val="12"/>
      <name val="Arial"/>
      <family val="2"/>
    </font>
    <font>
      <i/>
      <sz val="12"/>
      <name val="Arial Narrow"/>
      <family val="2"/>
    </font>
    <font>
      <b/>
      <u/>
      <sz val="12"/>
      <name val="Arial Narrow"/>
      <family val="2"/>
    </font>
    <font>
      <sz val="10"/>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rgb="FFFF66FF"/>
        <bgColor indexed="64"/>
      </patternFill>
    </fill>
  </fills>
  <borders count="6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theme="0" tint="-0.24994659260841701"/>
      </top>
      <bottom style="thin">
        <color theme="0" tint="-0.24994659260841701"/>
      </bottom>
      <diagonal/>
    </border>
  </borders>
  <cellStyleXfs count="14">
    <xf numFmtId="0" fontId="0" fillId="0" borderId="0"/>
    <xf numFmtId="43" fontId="3" fillId="0" borderId="0" applyFont="0" applyFill="0" applyBorder="0" applyAlignment="0" applyProtection="0"/>
    <xf numFmtId="43" fontId="10" fillId="0" borderId="0" applyFont="0" applyFill="0" applyBorder="0" applyAlignment="0" applyProtection="0"/>
    <xf numFmtId="43" fontId="17" fillId="0" borderId="0" applyFont="0" applyFill="0" applyBorder="0" applyAlignment="0" applyProtection="0"/>
    <xf numFmtId="0" fontId="10" fillId="0" borderId="0"/>
    <xf numFmtId="0" fontId="17" fillId="0" borderId="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48" fillId="0" borderId="0"/>
    <xf numFmtId="0" fontId="1" fillId="0" borderId="0"/>
    <xf numFmtId="43" fontId="1" fillId="0" borderId="0" applyFont="0" applyFill="0" applyBorder="0" applyAlignment="0" applyProtection="0"/>
    <xf numFmtId="0" fontId="65" fillId="0" borderId="0"/>
  </cellStyleXfs>
  <cellXfs count="1323">
    <xf numFmtId="0" fontId="0" fillId="0" borderId="0" xfId="0"/>
    <xf numFmtId="0" fontId="4" fillId="0" borderId="0" xfId="0" applyFont="1"/>
    <xf numFmtId="0" fontId="6" fillId="0" borderId="0" xfId="0" applyFont="1" applyAlignment="1">
      <alignment horizontal="center"/>
    </xf>
    <xf numFmtId="0" fontId="0" fillId="0" borderId="0" xfId="0" applyBorder="1"/>
    <xf numFmtId="0" fontId="0" fillId="0" borderId="5" xfId="0" applyBorder="1"/>
    <xf numFmtId="0" fontId="0" fillId="0" borderId="7" xfId="0" applyBorder="1"/>
    <xf numFmtId="0" fontId="10" fillId="0" borderId="0" xfId="0" applyFont="1"/>
    <xf numFmtId="0" fontId="6" fillId="0" borderId="0" xfId="0" applyFont="1"/>
    <xf numFmtId="0" fontId="10" fillId="0" borderId="0" xfId="0" applyFont="1" applyAlignment="1"/>
    <xf numFmtId="0" fontId="6" fillId="0" borderId="0" xfId="0" applyFont="1" applyAlignment="1"/>
    <xf numFmtId="43" fontId="10" fillId="0" borderId="0" xfId="1" applyFont="1"/>
    <xf numFmtId="43" fontId="10" fillId="0" borderId="12" xfId="1" applyFont="1" applyBorder="1"/>
    <xf numFmtId="43" fontId="6" fillId="0" borderId="13" xfId="1" applyFont="1" applyBorder="1"/>
    <xf numFmtId="43" fontId="6" fillId="0" borderId="14" xfId="1" applyFont="1" applyBorder="1"/>
    <xf numFmtId="0" fontId="10" fillId="0" borderId="0" xfId="0" applyFont="1" applyAlignment="1">
      <alignment horizontal="left"/>
    </xf>
    <xf numFmtId="0" fontId="6" fillId="0" borderId="0" xfId="0" applyFont="1" applyAlignment="1">
      <alignment horizontal="left"/>
    </xf>
    <xf numFmtId="43" fontId="10" fillId="0" borderId="0" xfId="1" applyFont="1" applyBorder="1"/>
    <xf numFmtId="43" fontId="6" fillId="0" borderId="0" xfId="1" applyFont="1" applyBorder="1"/>
    <xf numFmtId="0" fontId="10" fillId="0" borderId="0" xfId="0" applyFont="1" applyBorder="1"/>
    <xf numFmtId="0" fontId="6" fillId="0" borderId="0" xfId="0" applyFont="1" applyBorder="1"/>
    <xf numFmtId="43" fontId="6" fillId="0" borderId="15" xfId="1" applyFont="1" applyBorder="1"/>
    <xf numFmtId="43" fontId="10" fillId="0" borderId="0" xfId="0" applyNumberFormat="1" applyFont="1"/>
    <xf numFmtId="0" fontId="11" fillId="0" borderId="0" xfId="0" applyFont="1"/>
    <xf numFmtId="43" fontId="6" fillId="0" borderId="13" xfId="0" applyNumberFormat="1" applyFont="1" applyBorder="1"/>
    <xf numFmtId="43" fontId="6" fillId="0" borderId="0" xfId="0" applyNumberFormat="1" applyFont="1"/>
    <xf numFmtId="43" fontId="6" fillId="0" borderId="16" xfId="0" applyNumberFormat="1" applyFont="1" applyBorder="1"/>
    <xf numFmtId="0" fontId="0" fillId="0" borderId="2" xfId="0" applyBorder="1"/>
    <xf numFmtId="49" fontId="0" fillId="0" borderId="0" xfId="0" applyNumberFormat="1"/>
    <xf numFmtId="43" fontId="0" fillId="0" borderId="0" xfId="1" applyFont="1"/>
    <xf numFmtId="43" fontId="0" fillId="0" borderId="0" xfId="0" applyNumberFormat="1"/>
    <xf numFmtId="43" fontId="10" fillId="0" borderId="17" xfId="1" applyFont="1" applyBorder="1"/>
    <xf numFmtId="43" fontId="6" fillId="0" borderId="16" xfId="1" applyFont="1" applyBorder="1"/>
    <xf numFmtId="43" fontId="6" fillId="0" borderId="18" xfId="1" applyFont="1" applyBorder="1"/>
    <xf numFmtId="0" fontId="10" fillId="0" borderId="0" xfId="0" quotePrefix="1" applyFont="1" applyAlignment="1">
      <alignment horizontal="fill"/>
    </xf>
    <xf numFmtId="0" fontId="10" fillId="0" borderId="0" xfId="0" quotePrefix="1" applyFont="1" applyAlignment="1">
      <alignment horizontal="right"/>
    </xf>
    <xf numFmtId="43" fontId="6" fillId="0" borderId="0" xfId="1" applyFont="1"/>
    <xf numFmtId="43" fontId="6" fillId="0" borderId="12" xfId="1" applyFont="1" applyBorder="1"/>
    <xf numFmtId="43" fontId="6" fillId="0" borderId="16" xfId="1" quotePrefix="1" applyFont="1" applyBorder="1" applyAlignment="1">
      <alignment horizontal="center"/>
    </xf>
    <xf numFmtId="43" fontId="0" fillId="0" borderId="12" xfId="0" applyNumberFormat="1" applyBorder="1"/>
    <xf numFmtId="43" fontId="6" fillId="0" borderId="18" xfId="0" applyNumberFormat="1" applyFont="1" applyBorder="1"/>
    <xf numFmtId="0" fontId="10" fillId="0" borderId="0" xfId="0" quotePrefix="1" applyFont="1"/>
    <xf numFmtId="4" fontId="0" fillId="0" borderId="0" xfId="0" applyNumberFormat="1"/>
    <xf numFmtId="4" fontId="0" fillId="0" borderId="12" xfId="0" applyNumberFormat="1" applyBorder="1"/>
    <xf numFmtId="4" fontId="10" fillId="0" borderId="16" xfId="0" applyNumberFormat="1" applyFont="1" applyBorder="1"/>
    <xf numFmtId="4" fontId="10" fillId="0" borderId="0" xfId="0" applyNumberFormat="1" applyFont="1" applyAlignment="1">
      <alignment horizontal="center"/>
    </xf>
    <xf numFmtId="4" fontId="0" fillId="0" borderId="18" xfId="0" applyNumberFormat="1" applyBorder="1"/>
    <xf numFmtId="4" fontId="6" fillId="0" borderId="18" xfId="0" applyNumberFormat="1" applyFont="1" applyBorder="1"/>
    <xf numFmtId="0" fontId="10" fillId="0" borderId="0" xfId="0" applyFont="1" applyAlignment="1">
      <alignment horizontal="center"/>
    </xf>
    <xf numFmtId="43" fontId="0" fillId="0" borderId="0" xfId="0" applyNumberFormat="1" applyBorder="1"/>
    <xf numFmtId="43" fontId="10" fillId="0" borderId="12" xfId="0" quotePrefix="1" applyNumberFormat="1" applyFont="1" applyBorder="1" applyAlignment="1">
      <alignment horizontal="center"/>
    </xf>
    <xf numFmtId="4" fontId="0" fillId="0" borderId="0" xfId="0" applyNumberFormat="1" applyBorder="1"/>
    <xf numFmtId="0" fontId="10" fillId="0" borderId="0" xfId="0" applyFont="1" applyAlignment="1">
      <alignment horizontal="right"/>
    </xf>
    <xf numFmtId="0" fontId="13" fillId="0" borderId="0" xfId="0" applyFont="1" applyAlignment="1">
      <alignment horizontal="center"/>
    </xf>
    <xf numFmtId="4" fontId="10" fillId="0" borderId="0" xfId="0" applyNumberFormat="1" applyFont="1"/>
    <xf numFmtId="4" fontId="10" fillId="0" borderId="12" xfId="0" applyNumberFormat="1" applyFont="1" applyBorder="1"/>
    <xf numFmtId="0" fontId="6" fillId="0" borderId="5" xfId="0" applyFont="1" applyBorder="1"/>
    <xf numFmtId="0" fontId="6" fillId="0" borderId="6" xfId="0" applyFont="1" applyBorder="1" applyAlignment="1">
      <alignment horizontal="center"/>
    </xf>
    <xf numFmtId="0" fontId="0" fillId="0" borderId="1" xfId="0" applyBorder="1"/>
    <xf numFmtId="0" fontId="0" fillId="0" borderId="12" xfId="0" applyBorder="1"/>
    <xf numFmtId="0" fontId="6" fillId="0" borderId="28" xfId="0" applyFont="1" applyBorder="1"/>
    <xf numFmtId="0" fontId="6" fillId="0" borderId="27" xfId="0" applyFont="1" applyBorder="1"/>
    <xf numFmtId="0" fontId="6" fillId="0" borderId="0" xfId="0" applyFont="1" applyBorder="1" applyAlignment="1">
      <alignment horizontal="center"/>
    </xf>
    <xf numFmtId="0" fontId="6" fillId="0" borderId="9" xfId="0" applyFont="1" applyBorder="1"/>
    <xf numFmtId="0" fontId="0" fillId="0" borderId="3" xfId="0" applyBorder="1"/>
    <xf numFmtId="0" fontId="6" fillId="0" borderId="1" xfId="0" applyFont="1" applyBorder="1"/>
    <xf numFmtId="0" fontId="6" fillId="0" borderId="2" xfId="0" applyFont="1" applyBorder="1" applyAlignment="1">
      <alignment horizontal="center"/>
    </xf>
    <xf numFmtId="0" fontId="6" fillId="0" borderId="2" xfId="0" applyFont="1" applyBorder="1"/>
    <xf numFmtId="0" fontId="6" fillId="0" borderId="1" xfId="0" applyFont="1" applyBorder="1" applyAlignment="1">
      <alignment horizontal="center"/>
    </xf>
    <xf numFmtId="0" fontId="7" fillId="0" borderId="7" xfId="0" applyFont="1" applyBorder="1" applyAlignment="1">
      <alignment horizontal="center"/>
    </xf>
    <xf numFmtId="0" fontId="7" fillId="0" borderId="3" xfId="0" applyFont="1" applyBorder="1" applyAlignment="1">
      <alignment horizontal="center"/>
    </xf>
    <xf numFmtId="0" fontId="7" fillId="0" borderId="12" xfId="0" applyFont="1" applyBorder="1" applyAlignment="1">
      <alignment horizontal="center"/>
    </xf>
    <xf numFmtId="0" fontId="7" fillId="0" borderId="26" xfId="0" applyFont="1" applyBorder="1" applyAlignment="1">
      <alignment horizontal="center"/>
    </xf>
    <xf numFmtId="0" fontId="7" fillId="0" borderId="0" xfId="0" applyFont="1" applyAlignment="1">
      <alignment horizontal="center"/>
    </xf>
    <xf numFmtId="0" fontId="0" fillId="0" borderId="17" xfId="0" applyBorder="1"/>
    <xf numFmtId="0" fontId="0" fillId="0" borderId="29" xfId="0" applyBorder="1"/>
    <xf numFmtId="0" fontId="6" fillId="0" borderId="30" xfId="0" applyFont="1" applyBorder="1" applyAlignment="1">
      <alignment horizontal="center"/>
    </xf>
    <xf numFmtId="0" fontId="0" fillId="0" borderId="31" xfId="0" applyBorder="1" applyAlignment="1">
      <alignment horizontal="center"/>
    </xf>
    <xf numFmtId="49" fontId="10" fillId="0" borderId="0" xfId="0" applyNumberFormat="1" applyFont="1"/>
    <xf numFmtId="49" fontId="0" fillId="0" borderId="20" xfId="0" applyNumberFormat="1" applyBorder="1"/>
    <xf numFmtId="49" fontId="6" fillId="0" borderId="22" xfId="0" applyNumberFormat="1" applyFont="1" applyBorder="1" applyAlignment="1">
      <alignment horizontal="center"/>
    </xf>
    <xf numFmtId="49" fontId="0" fillId="0" borderId="32" xfId="0" applyNumberFormat="1" applyBorder="1"/>
    <xf numFmtId="49" fontId="0" fillId="0" borderId="5" xfId="0" applyNumberFormat="1" applyBorder="1"/>
    <xf numFmtId="49" fontId="0" fillId="0" borderId="7" xfId="0" applyNumberFormat="1" applyBorder="1"/>
    <xf numFmtId="49" fontId="6" fillId="0" borderId="5" xfId="0" applyNumberFormat="1" applyFont="1" applyBorder="1"/>
    <xf numFmtId="49" fontId="0" fillId="0" borderId="17" xfId="0" applyNumberFormat="1" applyBorder="1"/>
    <xf numFmtId="49" fontId="6" fillId="0" borderId="0" xfId="0" applyNumberFormat="1" applyFont="1" applyBorder="1" applyAlignment="1">
      <alignment horizontal="center"/>
    </xf>
    <xf numFmtId="49" fontId="0" fillId="0" borderId="0" xfId="0" applyNumberFormat="1" applyBorder="1"/>
    <xf numFmtId="49" fontId="6" fillId="0" borderId="0" xfId="0" applyNumberFormat="1" applyFont="1" applyBorder="1"/>
    <xf numFmtId="49" fontId="0" fillId="0" borderId="12" xfId="0" applyNumberFormat="1" applyBorder="1"/>
    <xf numFmtId="49" fontId="10" fillId="0" borderId="0" xfId="0" applyNumberFormat="1" applyFont="1" applyBorder="1"/>
    <xf numFmtId="0" fontId="10" fillId="0" borderId="0" xfId="0" applyFont="1" applyFill="1" applyBorder="1"/>
    <xf numFmtId="0" fontId="0" fillId="0" borderId="0" xfId="0" applyFont="1" applyFill="1" applyBorder="1"/>
    <xf numFmtId="49" fontId="6" fillId="0" borderId="0" xfId="0" applyNumberFormat="1" applyFont="1"/>
    <xf numFmtId="49" fontId="6" fillId="0" borderId="0" xfId="0" applyNumberFormat="1" applyFont="1" applyAlignment="1">
      <alignment horizontal="center"/>
    </xf>
    <xf numFmtId="43" fontId="0" fillId="0" borderId="2" xfId="0" applyNumberFormat="1" applyBorder="1"/>
    <xf numFmtId="43" fontId="0" fillId="0" borderId="3" xfId="0" applyNumberFormat="1" applyBorder="1"/>
    <xf numFmtId="0" fontId="6" fillId="0" borderId="0" xfId="0" applyFont="1" applyFill="1" applyBorder="1"/>
    <xf numFmtId="43" fontId="6" fillId="0" borderId="2" xfId="0" applyNumberFormat="1" applyFont="1" applyBorder="1"/>
    <xf numFmtId="43" fontId="6" fillId="0" borderId="8" xfId="0" applyNumberFormat="1" applyFont="1" applyBorder="1"/>
    <xf numFmtId="43" fontId="6" fillId="0" borderId="11" xfId="0" applyNumberFormat="1" applyFont="1" applyBorder="1"/>
    <xf numFmtId="0" fontId="0" fillId="0" borderId="5" xfId="0" applyBorder="1" applyAlignment="1">
      <alignment horizontal="center"/>
    </xf>
    <xf numFmtId="0" fontId="0" fillId="0" borderId="2" xfId="0" applyBorder="1" applyAlignment="1">
      <alignment horizontal="center"/>
    </xf>
    <xf numFmtId="4" fontId="6" fillId="0" borderId="18" xfId="0" quotePrefix="1" applyNumberFormat="1" applyFont="1" applyBorder="1" applyAlignment="1">
      <alignment horizontal="right"/>
    </xf>
    <xf numFmtId="0" fontId="4" fillId="0" borderId="0" xfId="0" applyFont="1" applyAlignment="1">
      <alignment horizontal="center"/>
    </xf>
    <xf numFmtId="0" fontId="3" fillId="0" borderId="0" xfId="0" applyFont="1"/>
    <xf numFmtId="0" fontId="3" fillId="0" borderId="0" xfId="0" quotePrefix="1" applyFont="1"/>
    <xf numFmtId="0" fontId="22" fillId="0" borderId="0" xfId="0" applyFont="1" applyAlignment="1">
      <alignment horizontal="center"/>
    </xf>
    <xf numFmtId="49" fontId="10" fillId="0" borderId="0" xfId="0" applyNumberFormat="1" applyFont="1" applyAlignment="1">
      <alignment horizontal="center"/>
    </xf>
    <xf numFmtId="43" fontId="28" fillId="0" borderId="0" xfId="1" applyFont="1"/>
    <xf numFmtId="43" fontId="27" fillId="0" borderId="0" xfId="1" applyFont="1" applyBorder="1"/>
    <xf numFmtId="0" fontId="26" fillId="0" borderId="0" xfId="6" applyFont="1"/>
    <xf numFmtId="0" fontId="28" fillId="0" borderId="0" xfId="6" applyFont="1"/>
    <xf numFmtId="49" fontId="28" fillId="0" borderId="0" xfId="6" applyNumberFormat="1" applyFont="1"/>
    <xf numFmtId="43" fontId="28" fillId="0" borderId="0" xfId="7" applyFont="1"/>
    <xf numFmtId="43" fontId="26" fillId="0" borderId="0" xfId="7" applyFont="1" applyAlignment="1">
      <alignment horizontal="right"/>
    </xf>
    <xf numFmtId="43" fontId="37" fillId="0" borderId="0" xfId="1" applyFont="1"/>
    <xf numFmtId="43" fontId="27" fillId="0" borderId="0" xfId="1" applyFont="1"/>
    <xf numFmtId="0" fontId="37" fillId="0" borderId="0" xfId="6" applyFont="1"/>
    <xf numFmtId="0" fontId="27" fillId="0" borderId="0" xfId="6" applyFont="1"/>
    <xf numFmtId="0" fontId="28" fillId="0" borderId="0" xfId="6" applyFont="1" applyBorder="1" applyAlignment="1">
      <alignment horizontal="center"/>
    </xf>
    <xf numFmtId="43" fontId="30" fillId="0" borderId="0" xfId="1" applyFont="1" applyAlignment="1">
      <alignment horizontal="center"/>
    </xf>
    <xf numFmtId="0" fontId="26" fillId="0" borderId="34" xfId="6" applyFont="1" applyBorder="1" applyAlignment="1">
      <alignment horizontal="center"/>
    </xf>
    <xf numFmtId="43" fontId="28" fillId="0" borderId="35" xfId="7" applyFont="1" applyBorder="1" applyAlignment="1">
      <alignment horizontal="center"/>
    </xf>
    <xf numFmtId="0" fontId="26" fillId="0" borderId="45" xfId="6" applyFont="1" applyBorder="1" applyAlignment="1">
      <alignment horizontal="center"/>
    </xf>
    <xf numFmtId="43" fontId="26" fillId="0" borderId="36" xfId="7" applyFont="1" applyBorder="1" applyAlignment="1">
      <alignment horizontal="center"/>
    </xf>
    <xf numFmtId="0" fontId="26" fillId="0" borderId="22" xfId="6" applyFont="1" applyBorder="1" applyAlignment="1">
      <alignment horizontal="center"/>
    </xf>
    <xf numFmtId="0" fontId="26" fillId="0" borderId="6" xfId="6" applyFont="1" applyBorder="1"/>
    <xf numFmtId="0" fontId="26" fillId="0" borderId="2" xfId="6" applyFont="1" applyBorder="1" applyAlignment="1">
      <alignment horizontal="center"/>
    </xf>
    <xf numFmtId="49" fontId="26" fillId="0" borderId="27" xfId="6" applyNumberFormat="1" applyFont="1" applyBorder="1" applyAlignment="1">
      <alignment horizontal="center"/>
    </xf>
    <xf numFmtId="43" fontId="26" fillId="0" borderId="1" xfId="7" applyFont="1" applyBorder="1" applyAlignment="1">
      <alignment horizontal="center"/>
    </xf>
    <xf numFmtId="0" fontId="28" fillId="0" borderId="24" xfId="6" applyFont="1" applyBorder="1" applyAlignment="1">
      <alignment horizontal="center"/>
    </xf>
    <xf numFmtId="0" fontId="28" fillId="0" borderId="38" xfId="6" applyFont="1" applyBorder="1" applyAlignment="1">
      <alignment horizontal="center"/>
    </xf>
    <xf numFmtId="0" fontId="28" fillId="0" borderId="39" xfId="6" applyFont="1" applyBorder="1" applyAlignment="1">
      <alignment horizontal="center"/>
    </xf>
    <xf numFmtId="0" fontId="28" fillId="0" borderId="5" xfId="6" applyFont="1" applyBorder="1" applyAlignment="1">
      <alignment horizontal="center"/>
    </xf>
    <xf numFmtId="0" fontId="28" fillId="0" borderId="6" xfId="6" applyFont="1" applyBorder="1"/>
    <xf numFmtId="0" fontId="28" fillId="0" borderId="2" xfId="6" applyFont="1" applyBorder="1"/>
    <xf numFmtId="49" fontId="27" fillId="0" borderId="0" xfId="6" applyNumberFormat="1" applyFont="1"/>
    <xf numFmtId="43" fontId="28" fillId="0" borderId="2" xfId="7" applyFont="1" applyBorder="1"/>
    <xf numFmtId="43" fontId="27" fillId="0" borderId="2" xfId="7" applyFont="1" applyBorder="1"/>
    <xf numFmtId="0" fontId="24" fillId="0" borderId="5" xfId="6" applyFont="1" applyBorder="1" applyAlignment="1">
      <alignment horizontal="center"/>
    </xf>
    <xf numFmtId="0" fontId="24" fillId="0" borderId="0" xfId="6" applyFont="1" applyBorder="1" applyAlignment="1">
      <alignment horizontal="center"/>
    </xf>
    <xf numFmtId="0" fontId="24" fillId="0" borderId="5" xfId="6" applyFont="1" applyBorder="1" applyAlignment="1">
      <alignment horizontal="left"/>
    </xf>
    <xf numFmtId="0" fontId="24" fillId="0" borderId="6" xfId="6" applyFont="1" applyBorder="1"/>
    <xf numFmtId="0" fontId="24" fillId="0" borderId="2" xfId="6" applyFont="1" applyBorder="1"/>
    <xf numFmtId="49" fontId="24" fillId="0" borderId="2" xfId="6" applyNumberFormat="1" applyFont="1" applyBorder="1" applyAlignment="1">
      <alignment horizontal="center"/>
    </xf>
    <xf numFmtId="43" fontId="24" fillId="0" borderId="2" xfId="7" applyFont="1" applyBorder="1"/>
    <xf numFmtId="43" fontId="24" fillId="0" borderId="2" xfId="7" quotePrefix="1" applyFont="1" applyBorder="1" applyAlignment="1">
      <alignment horizontal="center"/>
    </xf>
    <xf numFmtId="43" fontId="37" fillId="0" borderId="0" xfId="6" applyNumberFormat="1" applyFont="1"/>
    <xf numFmtId="0" fontId="25" fillId="0" borderId="0" xfId="6" applyFont="1"/>
    <xf numFmtId="0" fontId="39" fillId="0" borderId="5" xfId="6" applyFont="1" applyBorder="1" applyAlignment="1">
      <alignment horizontal="left"/>
    </xf>
    <xf numFmtId="0" fontId="39" fillId="0" borderId="6" xfId="6" applyFont="1" applyBorder="1" applyAlignment="1">
      <alignment horizontal="center"/>
    </xf>
    <xf numFmtId="14" fontId="24" fillId="0" borderId="2" xfId="7" applyNumberFormat="1" applyFont="1" applyBorder="1"/>
    <xf numFmtId="0" fontId="35" fillId="0" borderId="2" xfId="6" applyFont="1" applyBorder="1"/>
    <xf numFmtId="0" fontId="39" fillId="0" borderId="6" xfId="6" applyFont="1" applyBorder="1"/>
    <xf numFmtId="49" fontId="24" fillId="0" borderId="0" xfId="6" applyNumberFormat="1" applyFont="1" applyBorder="1" applyAlignment="1">
      <alignment horizontal="center"/>
    </xf>
    <xf numFmtId="165" fontId="24" fillId="0" borderId="2" xfId="7" applyNumberFormat="1" applyFont="1" applyBorder="1"/>
    <xf numFmtId="0" fontId="24" fillId="0" borderId="5" xfId="6" applyFont="1" applyBorder="1"/>
    <xf numFmtId="0" fontId="24" fillId="0" borderId="0" xfId="6" applyFont="1" applyBorder="1"/>
    <xf numFmtId="49" fontId="25" fillId="0" borderId="0" xfId="6" applyNumberFormat="1" applyFont="1"/>
    <xf numFmtId="0" fontId="23" fillId="0" borderId="10" xfId="6" applyFont="1" applyBorder="1"/>
    <xf numFmtId="0" fontId="23" fillId="0" borderId="18" xfId="6" applyFont="1" applyBorder="1" applyAlignment="1">
      <alignment horizontal="center"/>
    </xf>
    <xf numFmtId="0" fontId="23" fillId="0" borderId="18" xfId="6" applyFont="1" applyBorder="1"/>
    <xf numFmtId="0" fontId="23" fillId="0" borderId="40" xfId="6" applyFont="1" applyBorder="1"/>
    <xf numFmtId="0" fontId="23" fillId="0" borderId="11" xfId="6" applyFont="1" applyBorder="1" applyAlignment="1">
      <alignment horizontal="center"/>
    </xf>
    <xf numFmtId="0" fontId="23" fillId="0" borderId="11" xfId="6" applyFont="1" applyBorder="1"/>
    <xf numFmtId="43" fontId="23" fillId="0" borderId="11" xfId="6" applyNumberFormat="1" applyFont="1" applyBorder="1"/>
    <xf numFmtId="43" fontId="23" fillId="0" borderId="11" xfId="7" applyFont="1" applyBorder="1"/>
    <xf numFmtId="43" fontId="40" fillId="0" borderId="0" xfId="1" applyFont="1"/>
    <xf numFmtId="43" fontId="30" fillId="0" borderId="0" xfId="1" applyFont="1"/>
    <xf numFmtId="0" fontId="40" fillId="0" borderId="0" xfId="6" applyFont="1"/>
    <xf numFmtId="0" fontId="29" fillId="0" borderId="0" xfId="6" applyFont="1"/>
    <xf numFmtId="43" fontId="23" fillId="0" borderId="0" xfId="6" applyNumberFormat="1" applyFont="1" applyBorder="1"/>
    <xf numFmtId="43" fontId="24" fillId="0" borderId="0" xfId="7" applyFont="1" applyBorder="1"/>
    <xf numFmtId="43" fontId="23" fillId="0" borderId="0" xfId="7" applyFont="1" applyBorder="1"/>
    <xf numFmtId="49" fontId="24" fillId="0" borderId="0" xfId="6" applyNumberFormat="1" applyFont="1" applyBorder="1"/>
    <xf numFmtId="0" fontId="23" fillId="0" borderId="0" xfId="6" applyFont="1"/>
    <xf numFmtId="0" fontId="24" fillId="0" borderId="0" xfId="6" applyFont="1"/>
    <xf numFmtId="43" fontId="24" fillId="0" borderId="0" xfId="7" applyFont="1"/>
    <xf numFmtId="49" fontId="24" fillId="0" borderId="0" xfId="6" applyNumberFormat="1" applyFont="1"/>
    <xf numFmtId="0" fontId="23" fillId="0" borderId="0" xfId="6" applyFont="1" applyAlignment="1"/>
    <xf numFmtId="43" fontId="27" fillId="0" borderId="0" xfId="7" applyFont="1"/>
    <xf numFmtId="0" fontId="32" fillId="0" borderId="0" xfId="6" applyFont="1"/>
    <xf numFmtId="43" fontId="41" fillId="0" borderId="0" xfId="1" applyFont="1"/>
    <xf numFmtId="0" fontId="28" fillId="0" borderId="2" xfId="6" applyFont="1" applyBorder="1" applyAlignment="1">
      <alignment horizontal="center"/>
    </xf>
    <xf numFmtId="49" fontId="28" fillId="0" borderId="2" xfId="6" applyNumberFormat="1" applyFont="1" applyBorder="1" applyAlignment="1">
      <alignment horizontal="center"/>
    </xf>
    <xf numFmtId="0" fontId="24" fillId="0" borderId="2" xfId="6" applyFont="1" applyBorder="1" applyAlignment="1">
      <alignment horizontal="center"/>
    </xf>
    <xf numFmtId="0" fontId="24" fillId="0" borderId="6" xfId="6" applyFont="1" applyBorder="1" applyAlignment="1">
      <alignment horizontal="center"/>
    </xf>
    <xf numFmtId="0" fontId="24" fillId="0" borderId="2" xfId="6" quotePrefix="1" applyFont="1" applyBorder="1" applyAlignment="1">
      <alignment horizontal="center"/>
    </xf>
    <xf numFmtId="49" fontId="25" fillId="0" borderId="2" xfId="6" applyNumberFormat="1" applyFont="1" applyBorder="1"/>
    <xf numFmtId="0" fontId="23" fillId="0" borderId="10" xfId="6" applyFont="1" applyBorder="1" applyAlignment="1">
      <alignment horizontal="center"/>
    </xf>
    <xf numFmtId="49" fontId="23" fillId="0" borderId="11" xfId="6" applyNumberFormat="1" applyFont="1" applyBorder="1" applyAlignment="1">
      <alignment horizontal="center"/>
    </xf>
    <xf numFmtId="0" fontId="23" fillId="0" borderId="0" xfId="6" applyFont="1" applyBorder="1" applyAlignment="1">
      <alignment horizontal="center"/>
    </xf>
    <xf numFmtId="0" fontId="23" fillId="0" borderId="0" xfId="6" applyFont="1" applyBorder="1"/>
    <xf numFmtId="49" fontId="23" fillId="0" borderId="0" xfId="6" applyNumberFormat="1" applyFont="1" applyBorder="1" applyAlignment="1">
      <alignment horizontal="center"/>
    </xf>
    <xf numFmtId="43" fontId="37" fillId="0" borderId="0" xfId="1" applyFont="1" applyBorder="1"/>
    <xf numFmtId="0" fontId="37" fillId="0" borderId="0" xfId="6" applyFont="1" applyBorder="1"/>
    <xf numFmtId="0" fontId="25" fillId="0" borderId="0" xfId="6" applyFont="1" applyBorder="1"/>
    <xf numFmtId="16" fontId="24" fillId="0" borderId="2" xfId="6" quotePrefix="1" applyNumberFormat="1" applyFont="1" applyBorder="1" applyAlignment="1">
      <alignment horizontal="center"/>
    </xf>
    <xf numFmtId="0" fontId="24" fillId="0" borderId="6" xfId="6" applyFont="1" applyBorder="1" applyAlignment="1">
      <alignment horizontal="left"/>
    </xf>
    <xf numFmtId="0" fontId="24" fillId="0" borderId="3" xfId="6" applyFont="1" applyBorder="1" applyAlignment="1">
      <alignment horizontal="center"/>
    </xf>
    <xf numFmtId="0" fontId="24" fillId="0" borderId="12" xfId="6" applyFont="1" applyBorder="1" applyAlignment="1">
      <alignment horizontal="center"/>
    </xf>
    <xf numFmtId="0" fontId="24" fillId="0" borderId="7" xfId="6" applyFont="1" applyBorder="1" applyAlignment="1">
      <alignment horizontal="center"/>
    </xf>
    <xf numFmtId="0" fontId="24" fillId="0" borderId="26" xfId="6" applyFont="1" applyBorder="1"/>
    <xf numFmtId="0" fontId="24" fillId="0" borderId="3" xfId="6" applyFont="1" applyBorder="1"/>
    <xf numFmtId="49" fontId="24" fillId="0" borderId="3" xfId="6" quotePrefix="1" applyNumberFormat="1" applyFont="1" applyBorder="1" applyAlignment="1">
      <alignment horizontal="center"/>
    </xf>
    <xf numFmtId="14" fontId="24" fillId="0" borderId="12" xfId="7" applyNumberFormat="1" applyFont="1" applyBorder="1"/>
    <xf numFmtId="43" fontId="24" fillId="0" borderId="3" xfId="7" quotePrefix="1" applyFont="1" applyBorder="1" applyAlignment="1">
      <alignment horizontal="center"/>
    </xf>
    <xf numFmtId="0" fontId="23" fillId="0" borderId="4" xfId="6" applyFont="1" applyBorder="1" applyAlignment="1">
      <alignment horizontal="center"/>
    </xf>
    <xf numFmtId="49" fontId="24" fillId="0" borderId="2" xfId="6" quotePrefix="1" applyNumberFormat="1" applyFont="1" applyBorder="1" applyAlignment="1">
      <alignment horizontal="center"/>
    </xf>
    <xf numFmtId="43" fontId="23" fillId="0" borderId="2" xfId="7" quotePrefix="1" applyFont="1" applyBorder="1" applyAlignment="1">
      <alignment horizontal="center"/>
    </xf>
    <xf numFmtId="14" fontId="24" fillId="0" borderId="0" xfId="7" applyNumberFormat="1" applyFont="1" applyBorder="1"/>
    <xf numFmtId="0" fontId="23" fillId="0" borderId="58" xfId="6" applyFont="1" applyBorder="1" applyAlignment="1">
      <alignment horizontal="center"/>
    </xf>
    <xf numFmtId="0" fontId="27" fillId="0" borderId="0" xfId="6" applyFont="1" applyAlignment="1">
      <alignment horizontal="center"/>
    </xf>
    <xf numFmtId="49" fontId="24" fillId="0" borderId="2" xfId="6" applyNumberFormat="1" applyFont="1" applyBorder="1"/>
    <xf numFmtId="43" fontId="24" fillId="0" borderId="6" xfId="7" applyFont="1" applyBorder="1"/>
    <xf numFmtId="14" fontId="24" fillId="0" borderId="6" xfId="7" applyNumberFormat="1" applyFont="1" applyBorder="1"/>
    <xf numFmtId="0" fontId="23" fillId="0" borderId="40" xfId="6" applyFont="1" applyBorder="1" applyAlignment="1">
      <alignment horizontal="center"/>
    </xf>
    <xf numFmtId="49" fontId="23" fillId="0" borderId="11" xfId="6" applyNumberFormat="1" applyFont="1" applyBorder="1"/>
    <xf numFmtId="43" fontId="23" fillId="0" borderId="2" xfId="7" applyFont="1" applyBorder="1"/>
    <xf numFmtId="0" fontId="28" fillId="0" borderId="0" xfId="6" applyFont="1" applyBorder="1"/>
    <xf numFmtId="0" fontId="28" fillId="0" borderId="6" xfId="6" applyFont="1" applyBorder="1" applyAlignment="1">
      <alignment horizontal="center"/>
    </xf>
    <xf numFmtId="0" fontId="24" fillId="0" borderId="0" xfId="6" quotePrefix="1" applyFont="1" applyBorder="1" applyAlignment="1">
      <alignment horizontal="center"/>
    </xf>
    <xf numFmtId="0" fontId="24" fillId="0" borderId="2" xfId="6" applyFont="1" applyFill="1" applyBorder="1"/>
    <xf numFmtId="0" fontId="24" fillId="0" borderId="2" xfId="6" applyFont="1" applyFill="1" applyBorder="1" applyAlignment="1">
      <alignment horizontal="center"/>
    </xf>
    <xf numFmtId="0" fontId="24" fillId="0" borderId="0" xfId="6" applyFont="1" applyFill="1" applyBorder="1" applyAlignment="1">
      <alignment horizontal="center"/>
    </xf>
    <xf numFmtId="0" fontId="24" fillId="0" borderId="6" xfId="6" applyFont="1" applyFill="1" applyBorder="1" applyAlignment="1">
      <alignment horizontal="center"/>
    </xf>
    <xf numFmtId="0" fontId="24" fillId="0" borderId="0" xfId="6" applyFont="1" applyFill="1" applyBorder="1"/>
    <xf numFmtId="0" fontId="24" fillId="0" borderId="6" xfId="6" applyFont="1" applyFill="1" applyBorder="1"/>
    <xf numFmtId="0" fontId="24" fillId="0" borderId="2" xfId="6" quotePrefix="1" applyFont="1" applyFill="1" applyBorder="1" applyAlignment="1">
      <alignment horizontal="center"/>
    </xf>
    <xf numFmtId="43" fontId="24" fillId="0" borderId="2" xfId="7" applyFont="1" applyFill="1" applyBorder="1"/>
    <xf numFmtId="164" fontId="24" fillId="0" borderId="2" xfId="7" applyNumberFormat="1" applyFont="1" applyBorder="1"/>
    <xf numFmtId="49" fontId="23" fillId="0" borderId="0" xfId="6" applyNumberFormat="1" applyFont="1" applyBorder="1"/>
    <xf numFmtId="0" fontId="24" fillId="0" borderId="2" xfId="6" applyFont="1" applyBorder="1" applyAlignment="1">
      <alignment horizontal="left"/>
    </xf>
    <xf numFmtId="0" fontId="24" fillId="0" borderId="12" xfId="6" applyFont="1" applyBorder="1"/>
    <xf numFmtId="14" fontId="28" fillId="0" borderId="0" xfId="6" applyNumberFormat="1" applyFont="1"/>
    <xf numFmtId="14" fontId="28" fillId="0" borderId="0" xfId="6" applyNumberFormat="1" applyFont="1" applyBorder="1"/>
    <xf numFmtId="14" fontId="24" fillId="0" borderId="2" xfId="7" applyNumberFormat="1" applyFont="1" applyBorder="1" applyAlignment="1">
      <alignment horizontal="center"/>
    </xf>
    <xf numFmtId="0" fontId="24" fillId="3" borderId="2" xfId="6" applyFont="1" applyFill="1" applyBorder="1"/>
    <xf numFmtId="0" fontId="25" fillId="0" borderId="2" xfId="6" applyFont="1" applyBorder="1"/>
    <xf numFmtId="0" fontId="25" fillId="0" borderId="0" xfId="6" applyFont="1" applyBorder="1" applyAlignment="1">
      <alignment horizontal="center"/>
    </xf>
    <xf numFmtId="0" fontId="24" fillId="3" borderId="5" xfId="6" applyFont="1" applyFill="1" applyBorder="1"/>
    <xf numFmtId="0" fontId="24" fillId="3" borderId="0" xfId="6" applyFont="1" applyFill="1" applyBorder="1" applyAlignment="1">
      <alignment horizontal="center"/>
    </xf>
    <xf numFmtId="0" fontId="24" fillId="3" borderId="6" xfId="6" applyFont="1" applyFill="1" applyBorder="1"/>
    <xf numFmtId="0" fontId="24" fillId="3" borderId="2" xfId="6" quotePrefix="1" applyFont="1" applyFill="1" applyBorder="1" applyAlignment="1">
      <alignment horizontal="center"/>
    </xf>
    <xf numFmtId="43" fontId="24" fillId="3" borderId="2" xfId="7" applyFont="1" applyFill="1" applyBorder="1"/>
    <xf numFmtId="43" fontId="24" fillId="3" borderId="2" xfId="7" quotePrefix="1" applyFont="1" applyFill="1" applyBorder="1" applyAlignment="1">
      <alignment horizontal="center"/>
    </xf>
    <xf numFmtId="14" fontId="24" fillId="3" borderId="2" xfId="7" applyNumberFormat="1" applyFont="1" applyFill="1" applyBorder="1"/>
    <xf numFmtId="43" fontId="24" fillId="0" borderId="2" xfId="7" applyFont="1" applyBorder="1" applyAlignment="1">
      <alignment horizontal="center"/>
    </xf>
    <xf numFmtId="0" fontId="23" fillId="0" borderId="15" xfId="6" applyFont="1" applyBorder="1" applyAlignment="1">
      <alignment horizontal="center"/>
    </xf>
    <xf numFmtId="0" fontId="23" fillId="0" borderId="19" xfId="6" applyFont="1" applyBorder="1" applyAlignment="1">
      <alignment horizontal="center"/>
    </xf>
    <xf numFmtId="0" fontId="23" fillId="0" borderId="41" xfId="6" applyFont="1" applyBorder="1"/>
    <xf numFmtId="43" fontId="23" fillId="0" borderId="4" xfId="7" applyFont="1" applyBorder="1"/>
    <xf numFmtId="49" fontId="23" fillId="0" borderId="4" xfId="6" quotePrefix="1" applyNumberFormat="1" applyFont="1" applyBorder="1" applyAlignment="1">
      <alignment horizontal="center"/>
    </xf>
    <xf numFmtId="0" fontId="24" fillId="0" borderId="4" xfId="6" applyFont="1" applyBorder="1" applyAlignment="1">
      <alignment horizontal="center"/>
    </xf>
    <xf numFmtId="0" fontId="24" fillId="0" borderId="15" xfId="6" applyFont="1" applyBorder="1" applyAlignment="1">
      <alignment horizontal="center"/>
    </xf>
    <xf numFmtId="0" fontId="24" fillId="0" borderId="19" xfId="6" applyFont="1" applyBorder="1" applyAlignment="1">
      <alignment horizontal="center"/>
    </xf>
    <xf numFmtId="0" fontId="24" fillId="0" borderId="41" xfId="6" applyFont="1" applyBorder="1"/>
    <xf numFmtId="49" fontId="24" fillId="0" borderId="4" xfId="6" applyNumberFormat="1" applyFont="1" applyBorder="1" applyAlignment="1">
      <alignment horizontal="center"/>
    </xf>
    <xf numFmtId="0" fontId="41" fillId="0" borderId="0" xfId="6" applyFont="1"/>
    <xf numFmtId="0" fontId="28" fillId="0" borderId="34" xfId="6" applyFont="1" applyBorder="1" applyAlignment="1">
      <alignment horizontal="center"/>
    </xf>
    <xf numFmtId="165" fontId="24" fillId="0" borderId="2" xfId="7" applyNumberFormat="1" applyFont="1" applyBorder="1" applyAlignment="1">
      <alignment horizontal="center"/>
    </xf>
    <xf numFmtId="0" fontId="24" fillId="0" borderId="11" xfId="6" applyFont="1" applyBorder="1"/>
    <xf numFmtId="0" fontId="24" fillId="0" borderId="18" xfId="6" applyFont="1" applyBorder="1"/>
    <xf numFmtId="0" fontId="24" fillId="0" borderId="18" xfId="6" applyFont="1" applyBorder="1" applyAlignment="1">
      <alignment horizontal="center"/>
    </xf>
    <xf numFmtId="0" fontId="24" fillId="0" borderId="10" xfId="6" applyFont="1" applyBorder="1"/>
    <xf numFmtId="0" fontId="24" fillId="0" borderId="40" xfId="6" applyFont="1" applyBorder="1"/>
    <xf numFmtId="0" fontId="24" fillId="0" borderId="11" xfId="6" applyFont="1" applyBorder="1" applyAlignment="1">
      <alignment horizontal="center"/>
    </xf>
    <xf numFmtId="43" fontId="42" fillId="0" borderId="0" xfId="6" applyNumberFormat="1" applyFont="1"/>
    <xf numFmtId="43" fontId="34" fillId="0" borderId="0" xfId="6" applyNumberFormat="1" applyFont="1"/>
    <xf numFmtId="43" fontId="27" fillId="0" borderId="0" xfId="6" applyNumberFormat="1" applyFont="1"/>
    <xf numFmtId="0" fontId="3" fillId="0" borderId="0" xfId="0" applyFont="1" applyAlignment="1">
      <alignment horizontal="center"/>
    </xf>
    <xf numFmtId="49" fontId="10" fillId="0" borderId="0" xfId="0" applyNumberFormat="1" applyFont="1" applyAlignment="1">
      <alignment horizontal="center"/>
    </xf>
    <xf numFmtId="0" fontId="18" fillId="0" borderId="0" xfId="0" applyFont="1" applyAlignment="1"/>
    <xf numFmtId="43" fontId="32" fillId="0" borderId="0" xfId="1" applyFont="1"/>
    <xf numFmtId="0" fontId="14" fillId="0" borderId="0" xfId="6" applyFont="1"/>
    <xf numFmtId="0" fontId="14" fillId="0" borderId="0" xfId="6" applyFont="1" applyAlignment="1">
      <alignment horizontal="left"/>
    </xf>
    <xf numFmtId="0" fontId="15" fillId="0" borderId="20" xfId="6" applyFont="1" applyBorder="1" applyAlignment="1">
      <alignment horizontal="center"/>
    </xf>
    <xf numFmtId="0" fontId="15" fillId="0" borderId="29" xfId="6" applyFont="1" applyBorder="1" applyAlignment="1">
      <alignment horizontal="center" wrapText="1"/>
    </xf>
    <xf numFmtId="0" fontId="15" fillId="0" borderId="17" xfId="6" applyFont="1" applyBorder="1" applyAlignment="1">
      <alignment horizontal="center" wrapText="1"/>
    </xf>
    <xf numFmtId="0" fontId="15" fillId="4" borderId="29" xfId="6" applyFont="1" applyFill="1" applyBorder="1" applyAlignment="1">
      <alignment horizontal="center" wrapText="1"/>
    </xf>
    <xf numFmtId="0" fontId="15" fillId="4" borderId="17" xfId="6" applyFont="1" applyFill="1" applyBorder="1" applyAlignment="1">
      <alignment horizontal="center" wrapText="1"/>
    </xf>
    <xf numFmtId="0" fontId="15" fillId="3" borderId="29" xfId="6" applyFont="1" applyFill="1" applyBorder="1" applyAlignment="1">
      <alignment horizontal="center" wrapText="1"/>
    </xf>
    <xf numFmtId="0" fontId="15" fillId="3" borderId="17" xfId="6" applyFont="1" applyFill="1" applyBorder="1" applyAlignment="1">
      <alignment horizontal="center" wrapText="1"/>
    </xf>
    <xf numFmtId="0" fontId="15" fillId="0" borderId="21" xfId="6" applyFont="1" applyBorder="1" applyAlignment="1">
      <alignment horizontal="center" wrapText="1"/>
    </xf>
    <xf numFmtId="0" fontId="15" fillId="0" borderId="0" xfId="6" applyFont="1"/>
    <xf numFmtId="0" fontId="14" fillId="0" borderId="0" xfId="6" applyFont="1" applyAlignment="1">
      <alignment horizontal="right"/>
    </xf>
    <xf numFmtId="0" fontId="14" fillId="0" borderId="30" xfId="6" applyFont="1" applyBorder="1" applyAlignment="1">
      <alignment horizontal="center" wrapText="1"/>
    </xf>
    <xf numFmtId="0" fontId="14" fillId="0" borderId="4" xfId="6" applyFont="1" applyBorder="1"/>
    <xf numFmtId="0" fontId="14" fillId="0" borderId="4" xfId="6" applyFont="1" applyBorder="1" applyAlignment="1">
      <alignment horizontal="center"/>
    </xf>
    <xf numFmtId="43" fontId="14" fillId="0" borderId="4" xfId="6" applyNumberFormat="1" applyFont="1" applyBorder="1" applyAlignment="1"/>
    <xf numFmtId="43" fontId="14" fillId="0" borderId="4" xfId="6" applyNumberFormat="1" applyFont="1" applyBorder="1" applyAlignment="1">
      <alignment horizontal="right"/>
    </xf>
    <xf numFmtId="0" fontId="15" fillId="0" borderId="0" xfId="6" applyFont="1" applyAlignment="1"/>
    <xf numFmtId="0" fontId="15" fillId="0" borderId="0" xfId="6" applyFont="1" applyBorder="1" applyAlignment="1"/>
    <xf numFmtId="0" fontId="14" fillId="0" borderId="20" xfId="6" applyFont="1" applyBorder="1"/>
    <xf numFmtId="0" fontId="14" fillId="0" borderId="17" xfId="6" applyFont="1" applyBorder="1"/>
    <xf numFmtId="0" fontId="14" fillId="0" borderId="29" xfId="6" applyFont="1" applyBorder="1" applyAlignment="1">
      <alignment horizontal="center" wrapText="1"/>
    </xf>
    <xf numFmtId="0" fontId="14" fillId="0" borderId="22" xfId="6" applyFont="1" applyBorder="1"/>
    <xf numFmtId="0" fontId="14" fillId="0" borderId="0" xfId="6" applyFont="1" applyBorder="1"/>
    <xf numFmtId="0" fontId="15" fillId="0" borderId="30" xfId="6" applyFont="1" applyBorder="1" applyAlignment="1">
      <alignment horizontal="center" wrapText="1"/>
    </xf>
    <xf numFmtId="0" fontId="15" fillId="0" borderId="22" xfId="6" applyFont="1" applyBorder="1" applyAlignment="1">
      <alignment horizontal="center"/>
    </xf>
    <xf numFmtId="0" fontId="14" fillId="0" borderId="24" xfId="6" applyFont="1" applyBorder="1" applyAlignment="1">
      <alignment horizontal="center"/>
    </xf>
    <xf numFmtId="0" fontId="14" fillId="0" borderId="14" xfId="6" applyFont="1" applyBorder="1" applyAlignment="1">
      <alignment horizontal="center"/>
    </xf>
    <xf numFmtId="0" fontId="14" fillId="0" borderId="14" xfId="6" applyFont="1" applyBorder="1"/>
    <xf numFmtId="0" fontId="14" fillId="0" borderId="31" xfId="6" applyFont="1" applyBorder="1" applyAlignment="1">
      <alignment horizontal="center" wrapText="1"/>
    </xf>
    <xf numFmtId="0" fontId="14" fillId="0" borderId="3" xfId="6" applyFont="1" applyBorder="1"/>
    <xf numFmtId="43" fontId="14" fillId="0" borderId="3" xfId="6" applyNumberFormat="1" applyFont="1" applyBorder="1" applyAlignment="1">
      <alignment horizontal="right"/>
    </xf>
    <xf numFmtId="0" fontId="14" fillId="0" borderId="1" xfId="6" applyFont="1" applyBorder="1"/>
    <xf numFmtId="0" fontId="14" fillId="0" borderId="1" xfId="6" applyFont="1" applyBorder="1" applyAlignment="1">
      <alignment horizontal="center"/>
    </xf>
    <xf numFmtId="43" fontId="14" fillId="0" borderId="1" xfId="6" applyNumberFormat="1" applyFont="1" applyBorder="1" applyAlignment="1"/>
    <xf numFmtId="0" fontId="15" fillId="0" borderId="57" xfId="6" applyFont="1" applyBorder="1"/>
    <xf numFmtId="0" fontId="15" fillId="0" borderId="50" xfId="6" applyFont="1" applyBorder="1" applyAlignment="1">
      <alignment horizontal="center"/>
    </xf>
    <xf numFmtId="43" fontId="15" fillId="0" borderId="50" xfId="6" applyNumberFormat="1" applyFont="1" applyBorder="1" applyAlignment="1"/>
    <xf numFmtId="43" fontId="15" fillId="0" borderId="51" xfId="6" applyNumberFormat="1" applyFont="1" applyBorder="1" applyAlignment="1"/>
    <xf numFmtId="0" fontId="14" fillId="0" borderId="3" xfId="6" applyFont="1" applyBorder="1" applyAlignment="1">
      <alignment horizontal="center"/>
    </xf>
    <xf numFmtId="43" fontId="14" fillId="0" borderId="3" xfId="6" applyNumberFormat="1" applyFont="1" applyBorder="1" applyAlignment="1"/>
    <xf numFmtId="0" fontId="15" fillId="0" borderId="52" xfId="6" applyFont="1" applyBorder="1" applyAlignment="1">
      <alignment horizontal="center"/>
    </xf>
    <xf numFmtId="0" fontId="14" fillId="0" borderId="56" xfId="6" applyFont="1" applyBorder="1"/>
    <xf numFmtId="43" fontId="14" fillId="0" borderId="1" xfId="6" applyNumberFormat="1" applyFont="1" applyBorder="1" applyAlignment="1">
      <alignment horizontal="right"/>
    </xf>
    <xf numFmtId="0" fontId="15" fillId="0" borderId="4" xfId="6" applyFont="1" applyBorder="1"/>
    <xf numFmtId="49" fontId="15" fillId="0" borderId="19" xfId="6" applyNumberFormat="1" applyFont="1" applyBorder="1" applyAlignment="1">
      <alignment horizontal="center"/>
    </xf>
    <xf numFmtId="0" fontId="14" fillId="0" borderId="15" xfId="6" applyFont="1" applyBorder="1"/>
    <xf numFmtId="0" fontId="14" fillId="0" borderId="41" xfId="6" applyFont="1" applyBorder="1"/>
    <xf numFmtId="43" fontId="15" fillId="0" borderId="4" xfId="6" applyNumberFormat="1" applyFont="1" applyBorder="1" applyAlignment="1"/>
    <xf numFmtId="49" fontId="15" fillId="0" borderId="52" xfId="6" applyNumberFormat="1" applyFont="1" applyBorder="1" applyAlignment="1">
      <alignment horizontal="center"/>
    </xf>
    <xf numFmtId="43" fontId="14" fillId="0" borderId="4" xfId="6" quotePrefix="1" applyNumberFormat="1" applyFont="1" applyBorder="1" applyAlignment="1">
      <alignment horizontal="center"/>
    </xf>
    <xf numFmtId="0" fontId="15" fillId="0" borderId="46" xfId="6" applyFont="1" applyBorder="1"/>
    <xf numFmtId="43" fontId="15" fillId="0" borderId="54" xfId="6" applyNumberFormat="1" applyFont="1" applyBorder="1"/>
    <xf numFmtId="0" fontId="15" fillId="0" borderId="0" xfId="6" applyFont="1" applyBorder="1"/>
    <xf numFmtId="49" fontId="15" fillId="0" borderId="0" xfId="6" applyNumberFormat="1" applyFont="1" applyBorder="1" applyAlignment="1">
      <alignment horizontal="center"/>
    </xf>
    <xf numFmtId="43" fontId="15" fillId="0" borderId="0" xfId="6" applyNumberFormat="1" applyFont="1" applyBorder="1"/>
    <xf numFmtId="49" fontId="14" fillId="0" borderId="4" xfId="6" applyNumberFormat="1" applyFont="1" applyBorder="1" applyAlignment="1">
      <alignment horizontal="center"/>
    </xf>
    <xf numFmtId="43" fontId="14" fillId="0" borderId="0" xfId="6" applyNumberFormat="1" applyFont="1"/>
    <xf numFmtId="49" fontId="14" fillId="0" borderId="1" xfId="6" applyNumberFormat="1" applyFont="1" applyBorder="1" applyAlignment="1">
      <alignment horizontal="center"/>
    </xf>
    <xf numFmtId="0" fontId="15" fillId="0" borderId="0" xfId="6" applyFont="1" applyAlignment="1">
      <alignment horizontal="left"/>
    </xf>
    <xf numFmtId="49" fontId="15" fillId="0" borderId="50" xfId="6" applyNumberFormat="1" applyFont="1" applyBorder="1" applyAlignment="1">
      <alignment horizontal="center"/>
    </xf>
    <xf numFmtId="0" fontId="14" fillId="0" borderId="3" xfId="6" applyFont="1" applyBorder="1" applyAlignment="1">
      <alignment horizontal="left"/>
    </xf>
    <xf numFmtId="0" fontId="14" fillId="0" borderId="4" xfId="6" applyFont="1" applyBorder="1" applyAlignment="1">
      <alignment horizontal="left"/>
    </xf>
    <xf numFmtId="0" fontId="14" fillId="0" borderId="0" xfId="6" applyFont="1" applyAlignment="1"/>
    <xf numFmtId="0" fontId="14" fillId="0" borderId="63" xfId="6" applyFont="1" applyBorder="1"/>
    <xf numFmtId="0" fontId="14" fillId="0" borderId="0" xfId="6" applyFont="1" applyBorder="1" applyAlignment="1">
      <alignment horizontal="left"/>
    </xf>
    <xf numFmtId="0" fontId="14" fillId="0" borderId="0" xfId="6" applyFont="1" applyBorder="1" applyAlignment="1">
      <alignment horizontal="center"/>
    </xf>
    <xf numFmtId="43" fontId="14" fillId="0" borderId="0" xfId="6" applyNumberFormat="1" applyFont="1" applyBorder="1" applyAlignment="1"/>
    <xf numFmtId="43" fontId="14" fillId="0" borderId="0" xfId="6" applyNumberFormat="1" applyFont="1" applyBorder="1" applyAlignment="1">
      <alignment horizontal="right"/>
    </xf>
    <xf numFmtId="0" fontId="14" fillId="0" borderId="31" xfId="6" applyFont="1" applyBorder="1" applyAlignment="1">
      <alignment horizontal="center"/>
    </xf>
    <xf numFmtId="0" fontId="14" fillId="0" borderId="14" xfId="6" applyFont="1" applyBorder="1" applyAlignment="1">
      <alignment horizontal="center" wrapText="1"/>
    </xf>
    <xf numFmtId="0" fontId="14" fillId="4" borderId="31" xfId="6" applyFont="1" applyFill="1" applyBorder="1" applyAlignment="1">
      <alignment horizontal="center" wrapText="1"/>
    </xf>
    <xf numFmtId="0" fontId="14" fillId="4" borderId="14" xfId="6" applyFont="1" applyFill="1" applyBorder="1" applyAlignment="1">
      <alignment horizontal="center" wrapText="1"/>
    </xf>
    <xf numFmtId="0" fontId="14" fillId="3" borderId="31" xfId="6" applyFont="1" applyFill="1" applyBorder="1" applyAlignment="1">
      <alignment horizontal="center" wrapText="1"/>
    </xf>
    <xf numFmtId="0" fontId="14" fillId="3" borderId="14" xfId="6" applyFont="1" applyFill="1" applyBorder="1" applyAlignment="1">
      <alignment horizontal="center" wrapText="1"/>
    </xf>
    <xf numFmtId="0" fontId="14" fillId="0" borderId="25" xfId="6" applyFont="1" applyBorder="1" applyAlignment="1">
      <alignment horizontal="center" wrapText="1"/>
    </xf>
    <xf numFmtId="0" fontId="14" fillId="3" borderId="4" xfId="6" applyFont="1" applyFill="1" applyBorder="1" applyAlignment="1">
      <alignment horizontal="left"/>
    </xf>
    <xf numFmtId="0" fontId="14" fillId="3" borderId="4" xfId="6" applyFont="1" applyFill="1" applyBorder="1" applyAlignment="1">
      <alignment horizontal="center"/>
    </xf>
    <xf numFmtId="43" fontId="14" fillId="3" borderId="4" xfId="6" applyNumberFormat="1" applyFont="1" applyFill="1" applyBorder="1" applyAlignment="1"/>
    <xf numFmtId="43" fontId="14" fillId="3" borderId="4" xfId="6" applyNumberFormat="1" applyFont="1" applyFill="1" applyBorder="1" applyAlignment="1">
      <alignment horizontal="right"/>
    </xf>
    <xf numFmtId="0" fontId="14" fillId="0" borderId="1" xfId="6" applyFont="1" applyBorder="1" applyAlignment="1">
      <alignment horizontal="left"/>
    </xf>
    <xf numFmtId="0" fontId="15" fillId="0" borderId="46" xfId="6" applyFont="1" applyBorder="1" applyAlignment="1">
      <alignment horizontal="left"/>
    </xf>
    <xf numFmtId="43" fontId="15" fillId="0" borderId="50" xfId="6" applyNumberFormat="1" applyFont="1" applyBorder="1"/>
    <xf numFmtId="43" fontId="15" fillId="0" borderId="0" xfId="6" applyNumberFormat="1" applyFont="1"/>
    <xf numFmtId="0" fontId="12" fillId="0" borderId="0" xfId="8" applyFont="1"/>
    <xf numFmtId="0" fontId="12" fillId="0" borderId="0" xfId="8" applyFont="1" applyBorder="1" applyAlignment="1">
      <alignment horizontal="left"/>
    </xf>
    <xf numFmtId="0" fontId="12" fillId="0" borderId="0" xfId="8" applyFont="1" applyBorder="1" applyAlignment="1"/>
    <xf numFmtId="0" fontId="8" fillId="0" borderId="0" xfId="8" applyFont="1" applyBorder="1" applyAlignment="1"/>
    <xf numFmtId="0" fontId="8" fillId="0" borderId="0" xfId="8" applyFont="1"/>
    <xf numFmtId="0" fontId="12" fillId="0" borderId="0" xfId="8" applyFont="1" applyAlignment="1">
      <alignment horizontal="left"/>
    </xf>
    <xf numFmtId="0" fontId="47" fillId="0" borderId="0" xfId="8" applyFont="1" applyAlignment="1">
      <alignment vertical="center"/>
    </xf>
    <xf numFmtId="0" fontId="47" fillId="0" borderId="0" xfId="8" applyFont="1" applyAlignment="1">
      <alignment vertical="center" wrapText="1"/>
    </xf>
    <xf numFmtId="0" fontId="12" fillId="0" borderId="0" xfId="8" applyFont="1" applyAlignment="1"/>
    <xf numFmtId="0" fontId="8" fillId="3" borderId="1" xfId="8" applyFont="1" applyFill="1" applyBorder="1" applyAlignment="1">
      <alignment horizontal="center"/>
    </xf>
    <xf numFmtId="0" fontId="8" fillId="3" borderId="2" xfId="8" applyFont="1" applyFill="1" applyBorder="1" applyAlignment="1">
      <alignment horizontal="center"/>
    </xf>
    <xf numFmtId="0" fontId="8" fillId="3" borderId="15" xfId="8" applyFont="1" applyFill="1" applyBorder="1" applyAlignment="1">
      <alignment horizontal="center"/>
    </xf>
    <xf numFmtId="0" fontId="8" fillId="3" borderId="19" xfId="8" applyFont="1" applyFill="1" applyBorder="1" applyAlignment="1">
      <alignment horizontal="center"/>
    </xf>
    <xf numFmtId="0" fontId="8" fillId="3" borderId="4" xfId="8" applyFont="1" applyFill="1" applyBorder="1" applyAlignment="1">
      <alignment horizontal="center"/>
    </xf>
    <xf numFmtId="0" fontId="8" fillId="3" borderId="41" xfId="8" applyFont="1" applyFill="1" applyBorder="1" applyAlignment="1">
      <alignment horizontal="center"/>
    </xf>
    <xf numFmtId="0" fontId="12" fillId="0" borderId="1" xfId="8" applyFont="1" applyBorder="1" applyAlignment="1">
      <alignment horizontal="center"/>
    </xf>
    <xf numFmtId="0" fontId="12" fillId="0" borderId="2" xfId="8" applyFont="1" applyBorder="1" applyAlignment="1">
      <alignment horizontal="center"/>
    </xf>
    <xf numFmtId="0" fontId="12" fillId="0" borderId="3" xfId="8" applyFont="1" applyBorder="1" applyAlignment="1">
      <alignment horizontal="center"/>
    </xf>
    <xf numFmtId="0" fontId="12" fillId="0" borderId="5" xfId="8" applyFont="1" applyBorder="1" applyAlignment="1">
      <alignment horizontal="center"/>
    </xf>
    <xf numFmtId="0" fontId="12" fillId="0" borderId="1" xfId="8" applyFont="1" applyBorder="1" applyAlignment="1">
      <alignment horizontal="center" vertical="top"/>
    </xf>
    <xf numFmtId="0" fontId="12" fillId="0" borderId="4" xfId="8" applyFont="1" applyFill="1" applyBorder="1" applyAlignment="1">
      <alignment horizontal="left" vertical="top" wrapText="1"/>
    </xf>
    <xf numFmtId="0" fontId="12" fillId="0" borderId="4" xfId="8" applyFont="1" applyBorder="1" applyAlignment="1">
      <alignment horizontal="left" vertical="top" wrapText="1"/>
    </xf>
    <xf numFmtId="0" fontId="12" fillId="0" borderId="4" xfId="8" applyFont="1" applyBorder="1" applyAlignment="1">
      <alignment vertical="top" wrapText="1"/>
    </xf>
    <xf numFmtId="0" fontId="12" fillId="0" borderId="2" xfId="8" applyFont="1" applyFill="1" applyBorder="1" applyAlignment="1">
      <alignment horizontal="left" vertical="top" wrapText="1"/>
    </xf>
    <xf numFmtId="0" fontId="12" fillId="0" borderId="2" xfId="8" applyFont="1" applyBorder="1" applyAlignment="1">
      <alignment horizontal="left" vertical="top" wrapText="1"/>
    </xf>
    <xf numFmtId="0" fontId="12" fillId="0" borderId="3" xfId="8" applyFont="1" applyBorder="1" applyAlignment="1">
      <alignment vertical="top" wrapText="1"/>
    </xf>
    <xf numFmtId="0" fontId="12" fillId="0" borderId="3" xfId="8" applyFont="1" applyBorder="1" applyAlignment="1"/>
    <xf numFmtId="0" fontId="12" fillId="0" borderId="0" xfId="8" applyFont="1" applyBorder="1"/>
    <xf numFmtId="49" fontId="12" fillId="0" borderId="0" xfId="8" applyNumberFormat="1" applyFont="1" applyFill="1" applyBorder="1" applyAlignment="1">
      <alignment horizontal="left" vertical="top" wrapText="1"/>
    </xf>
    <xf numFmtId="43" fontId="12" fillId="0" borderId="0" xfId="9" applyFont="1" applyBorder="1" applyAlignment="1">
      <alignment horizontal="center" vertical="center"/>
    </xf>
    <xf numFmtId="0" fontId="12" fillId="0" borderId="0" xfId="8" applyFont="1" applyBorder="1" applyAlignment="1">
      <alignment vertical="top"/>
    </xf>
    <xf numFmtId="0" fontId="12" fillId="0" borderId="0" xfId="8" applyFont="1" applyBorder="1" applyAlignment="1">
      <alignment horizontal="left" vertical="top"/>
    </xf>
    <xf numFmtId="43" fontId="12" fillId="0" borderId="0" xfId="9" applyFont="1" applyBorder="1" applyAlignment="1">
      <alignment horizontal="left" vertical="top"/>
    </xf>
    <xf numFmtId="0" fontId="12" fillId="0" borderId="0" xfId="8" applyFont="1" applyFill="1" applyBorder="1"/>
    <xf numFmtId="0" fontId="8" fillId="0" borderId="0" xfId="10" applyFont="1" applyFill="1" applyBorder="1" applyAlignment="1"/>
    <xf numFmtId="43" fontId="12" fillId="0" borderId="0" xfId="9" applyFont="1" applyFill="1" applyBorder="1"/>
    <xf numFmtId="0" fontId="12" fillId="0" borderId="0" xfId="10" applyFont="1" applyFill="1" applyBorder="1" applyAlignment="1"/>
    <xf numFmtId="0" fontId="8" fillId="0" borderId="0" xfId="8" applyFont="1" applyFill="1" applyBorder="1" applyAlignment="1"/>
    <xf numFmtId="0" fontId="49" fillId="0" borderId="0" xfId="8" applyFont="1" applyFill="1" applyBorder="1"/>
    <xf numFmtId="43" fontId="49" fillId="0" borderId="0" xfId="9" applyFont="1" applyFill="1" applyBorder="1"/>
    <xf numFmtId="0" fontId="12" fillId="0" borderId="0" xfId="8" applyFont="1" applyFill="1" applyBorder="1" applyAlignment="1"/>
    <xf numFmtId="49" fontId="12" fillId="0" borderId="0" xfId="8" applyNumberFormat="1" applyFont="1" applyBorder="1" applyAlignment="1">
      <alignment horizontal="right" vertical="top" wrapText="1"/>
    </xf>
    <xf numFmtId="43" fontId="15" fillId="0" borderId="0" xfId="8" quotePrefix="1" applyNumberFormat="1" applyFont="1" applyBorder="1" applyAlignment="1">
      <alignment horizontal="left" vertical="center" textRotation="180" wrapText="1"/>
    </xf>
    <xf numFmtId="0" fontId="12" fillId="0" borderId="2" xfId="8" applyFont="1" applyBorder="1"/>
    <xf numFmtId="0" fontId="8" fillId="0" borderId="1" xfId="8" applyFont="1" applyBorder="1" applyAlignment="1">
      <alignment vertical="top" wrapText="1"/>
    </xf>
    <xf numFmtId="0" fontId="12" fillId="0" borderId="1" xfId="8" applyFont="1" applyBorder="1" applyAlignment="1">
      <alignment vertical="top" wrapText="1"/>
    </xf>
    <xf numFmtId="0" fontId="12" fillId="0" borderId="2" xfId="8" quotePrefix="1" applyFont="1" applyBorder="1" applyAlignment="1">
      <alignment vertical="top" wrapText="1"/>
    </xf>
    <xf numFmtId="0" fontId="12" fillId="0" borderId="2" xfId="8" applyFont="1" applyBorder="1" applyAlignment="1">
      <alignment vertical="top" wrapText="1"/>
    </xf>
    <xf numFmtId="0" fontId="12" fillId="0" borderId="3" xfId="8" quotePrefix="1" applyFont="1" applyBorder="1" applyAlignment="1">
      <alignment horizontal="left" vertical="top" wrapText="1"/>
    </xf>
    <xf numFmtId="0" fontId="12" fillId="0" borderId="3" xfId="8" applyFont="1" applyBorder="1" applyAlignment="1">
      <alignment horizontal="left" vertical="top"/>
    </xf>
    <xf numFmtId="0" fontId="8" fillId="0" borderId="5" xfId="8" applyFont="1" applyBorder="1" applyAlignment="1">
      <alignment horizontal="left"/>
    </xf>
    <xf numFmtId="49" fontId="12" fillId="0" borderId="1" xfId="8" applyNumberFormat="1" applyFont="1" applyFill="1" applyBorder="1" applyAlignment="1">
      <alignment wrapText="1"/>
    </xf>
    <xf numFmtId="49" fontId="12" fillId="0" borderId="2" xfId="8" applyNumberFormat="1" applyFont="1" applyFill="1" applyBorder="1" applyAlignment="1">
      <alignment horizontal="left" vertical="top" wrapText="1"/>
    </xf>
    <xf numFmtId="0" fontId="12" fillId="0" borderId="3" xfId="8" applyFont="1" applyBorder="1" applyAlignment="1">
      <alignment horizontal="left" vertical="top" wrapText="1"/>
    </xf>
    <xf numFmtId="0" fontId="12" fillId="0" borderId="5" xfId="8" applyFont="1" applyBorder="1"/>
    <xf numFmtId="0" fontId="12" fillId="0" borderId="7" xfId="8" applyFont="1" applyBorder="1"/>
    <xf numFmtId="43" fontId="12" fillId="0" borderId="0" xfId="9" applyFont="1" applyBorder="1" applyAlignment="1">
      <alignment vertical="center"/>
    </xf>
    <xf numFmtId="0" fontId="12" fillId="0" borderId="0" xfId="8" applyFont="1" applyAlignment="1">
      <alignment horizontal="center"/>
    </xf>
    <xf numFmtId="43" fontId="18" fillId="0" borderId="0" xfId="8" quotePrefix="1" applyNumberFormat="1" applyFont="1" applyBorder="1" applyAlignment="1">
      <alignment vertical="center" textRotation="180" wrapText="1"/>
    </xf>
    <xf numFmtId="0" fontId="8" fillId="0" borderId="0" xfId="8" applyFont="1" applyBorder="1"/>
    <xf numFmtId="0" fontId="8" fillId="3" borderId="1" xfId="8" applyFont="1" applyFill="1" applyBorder="1" applyAlignment="1">
      <alignment horizontal="center" vertical="center"/>
    </xf>
    <xf numFmtId="0" fontId="12" fillId="0" borderId="3" xfId="8" applyFont="1" applyBorder="1" applyAlignment="1">
      <alignment vertical="center"/>
    </xf>
    <xf numFmtId="0" fontId="12" fillId="0" borderId="2" xfId="8" applyFont="1" applyBorder="1" applyAlignment="1">
      <alignment vertical="center"/>
    </xf>
    <xf numFmtId="0" fontId="12" fillId="0" borderId="3" xfId="8" applyFont="1" applyBorder="1"/>
    <xf numFmtId="49" fontId="12" fillId="0" borderId="4" xfId="8" applyNumberFormat="1" applyFont="1" applyFill="1" applyBorder="1" applyAlignment="1">
      <alignment horizontal="left" vertical="top" wrapText="1"/>
    </xf>
    <xf numFmtId="49" fontId="12" fillId="0" borderId="4" xfId="9" applyNumberFormat="1" applyFont="1" applyFill="1" applyBorder="1" applyAlignment="1">
      <alignment horizontal="left" vertical="top" wrapText="1"/>
    </xf>
    <xf numFmtId="0" fontId="12" fillId="0" borderId="26" xfId="8" applyFont="1" applyFill="1" applyBorder="1" applyAlignment="1">
      <alignment horizontal="left" vertical="top" wrapText="1"/>
    </xf>
    <xf numFmtId="49" fontId="12" fillId="0" borderId="12" xfId="8" applyNumberFormat="1" applyFont="1" applyFill="1" applyBorder="1" applyAlignment="1">
      <alignment horizontal="left" vertical="top" wrapText="1"/>
    </xf>
    <xf numFmtId="49" fontId="12" fillId="0" borderId="12" xfId="9" applyNumberFormat="1" applyFont="1" applyFill="1" applyBorder="1" applyAlignment="1">
      <alignment horizontal="left" vertical="top" wrapText="1"/>
    </xf>
    <xf numFmtId="0" fontId="12" fillId="0" borderId="12" xfId="8" applyFont="1" applyBorder="1" applyAlignment="1">
      <alignment horizontal="left" vertical="top" wrapText="1"/>
    </xf>
    <xf numFmtId="43" fontId="8" fillId="0" borderId="10" xfId="9" applyFont="1" applyBorder="1" applyAlignment="1">
      <alignment horizontal="center" vertical="center"/>
    </xf>
    <xf numFmtId="43" fontId="8" fillId="0" borderId="18" xfId="9" applyFont="1" applyBorder="1" applyAlignment="1">
      <alignment horizontal="center" vertical="center"/>
    </xf>
    <xf numFmtId="43" fontId="8" fillId="0" borderId="40" xfId="9" applyFont="1" applyBorder="1" applyAlignment="1">
      <alignment horizontal="center" vertical="center"/>
    </xf>
    <xf numFmtId="0" fontId="50" fillId="0" borderId="0" xfId="8" applyFont="1" applyBorder="1" applyAlignment="1"/>
    <xf numFmtId="0" fontId="51" fillId="0" borderId="0" xfId="8" applyFont="1" applyBorder="1" applyAlignment="1"/>
    <xf numFmtId="0" fontId="35" fillId="0" borderId="0" xfId="8" applyFont="1" applyBorder="1"/>
    <xf numFmtId="0" fontId="36" fillId="0" borderId="0" xfId="8" applyFont="1" applyBorder="1"/>
    <xf numFmtId="0" fontId="36" fillId="3" borderId="28" xfId="8" applyFont="1" applyFill="1" applyBorder="1" applyAlignment="1">
      <alignment horizontal="center" vertical="center" wrapText="1"/>
    </xf>
    <xf numFmtId="0" fontId="36" fillId="3" borderId="1" xfId="8" applyFont="1" applyFill="1" applyBorder="1" applyAlignment="1">
      <alignment horizontal="center" vertical="center" wrapText="1"/>
    </xf>
    <xf numFmtId="0" fontId="36" fillId="3" borderId="0" xfId="8" applyFont="1" applyFill="1" applyBorder="1" applyAlignment="1">
      <alignment horizontal="center" vertical="center" wrapText="1"/>
    </xf>
    <xf numFmtId="0" fontId="36" fillId="3" borderId="2" xfId="8" applyFont="1" applyFill="1" applyBorder="1" applyAlignment="1">
      <alignment horizontal="center" vertical="center" wrapText="1"/>
    </xf>
    <xf numFmtId="0" fontId="36" fillId="3" borderId="7" xfId="8" applyFont="1" applyFill="1" applyBorder="1" applyAlignment="1">
      <alignment horizontal="center" vertical="center"/>
    </xf>
    <xf numFmtId="0" fontId="36" fillId="3" borderId="12" xfId="8" applyFont="1" applyFill="1" applyBorder="1" applyAlignment="1">
      <alignment horizontal="center" vertical="center"/>
    </xf>
    <xf numFmtId="0" fontId="36" fillId="3" borderId="26" xfId="8" applyFont="1" applyFill="1" applyBorder="1" applyAlignment="1">
      <alignment horizontal="center" vertical="center"/>
    </xf>
    <xf numFmtId="0" fontId="35" fillId="0" borderId="1" xfId="8" applyFont="1" applyBorder="1" applyAlignment="1">
      <alignment horizontal="center" vertical="top" wrapText="1"/>
    </xf>
    <xf numFmtId="0" fontId="35" fillId="0" borderId="28" xfId="8" applyFont="1" applyFill="1" applyBorder="1" applyAlignment="1">
      <alignment horizontal="left" vertical="top" wrapText="1"/>
    </xf>
    <xf numFmtId="0" fontId="2" fillId="0" borderId="1" xfId="8" applyFont="1" applyBorder="1" applyAlignment="1">
      <alignment horizontal="left" vertical="top" wrapText="1"/>
    </xf>
    <xf numFmtId="49" fontId="35" fillId="0" borderId="28" xfId="9" applyNumberFormat="1" applyFont="1" applyFill="1" applyBorder="1" applyAlignment="1">
      <alignment horizontal="left" vertical="top" wrapText="1"/>
    </xf>
    <xf numFmtId="0" fontId="35" fillId="0" borderId="1" xfId="8" applyFont="1" applyFill="1" applyBorder="1" applyAlignment="1">
      <alignment horizontal="left" vertical="top" wrapText="1"/>
    </xf>
    <xf numFmtId="0" fontId="35" fillId="0" borderId="3" xfId="8" applyFont="1" applyBorder="1" applyAlignment="1">
      <alignment horizontal="center" vertical="top" wrapText="1"/>
    </xf>
    <xf numFmtId="0" fontId="35" fillId="0" borderId="12" xfId="8" applyFont="1" applyFill="1" applyBorder="1" applyAlignment="1">
      <alignment horizontal="left" vertical="top" wrapText="1"/>
    </xf>
    <xf numFmtId="0" fontId="2" fillId="0" borderId="3" xfId="8" applyFont="1" applyBorder="1" applyAlignment="1">
      <alignment horizontal="left" vertical="top" wrapText="1"/>
    </xf>
    <xf numFmtId="49" fontId="35" fillId="0" borderId="12" xfId="9" applyNumberFormat="1" applyFont="1" applyFill="1" applyBorder="1" applyAlignment="1">
      <alignment horizontal="left" vertical="top" wrapText="1"/>
    </xf>
    <xf numFmtId="0" fontId="35" fillId="0" borderId="3" xfId="8" applyFont="1" applyFill="1" applyBorder="1" applyAlignment="1">
      <alignment horizontal="left" vertical="top" wrapText="1"/>
    </xf>
    <xf numFmtId="49" fontId="35" fillId="0" borderId="1" xfId="9" applyNumberFormat="1" applyFont="1" applyFill="1" applyBorder="1" applyAlignment="1">
      <alignment horizontal="left" vertical="top" wrapText="1"/>
    </xf>
    <xf numFmtId="49" fontId="35" fillId="0" borderId="28" xfId="8" applyNumberFormat="1" applyFont="1" applyFill="1" applyBorder="1" applyAlignment="1">
      <alignment horizontal="left" vertical="top" wrapText="1"/>
    </xf>
    <xf numFmtId="49" fontId="35" fillId="0" borderId="3" xfId="9" applyNumberFormat="1" applyFont="1" applyFill="1" applyBorder="1" applyAlignment="1">
      <alignment horizontal="left" vertical="top" wrapText="1"/>
    </xf>
    <xf numFmtId="0" fontId="2" fillId="0" borderId="12" xfId="8" applyFont="1" applyBorder="1" applyAlignment="1">
      <alignment horizontal="left" vertical="top" wrapText="1"/>
    </xf>
    <xf numFmtId="49" fontId="35" fillId="0" borderId="12" xfId="8" applyNumberFormat="1" applyFont="1" applyFill="1" applyBorder="1" applyAlignment="1">
      <alignment horizontal="left" vertical="top" wrapText="1"/>
    </xf>
    <xf numFmtId="0" fontId="35" fillId="0" borderId="2" xfId="8" applyFont="1" applyBorder="1" applyAlignment="1">
      <alignment horizontal="center" vertical="top" wrapText="1"/>
    </xf>
    <xf numFmtId="49" fontId="35" fillId="0" borderId="0" xfId="8" applyNumberFormat="1" applyFont="1" applyFill="1" applyBorder="1" applyAlignment="1">
      <alignment horizontal="left" vertical="top" wrapText="1"/>
    </xf>
    <xf numFmtId="49" fontId="35" fillId="0" borderId="2" xfId="9" applyNumberFormat="1" applyFont="1" applyFill="1" applyBorder="1" applyAlignment="1">
      <alignment horizontal="left" vertical="top" wrapText="1"/>
    </xf>
    <xf numFmtId="0" fontId="35" fillId="0" borderId="2" xfId="8" applyFont="1" applyFill="1" applyBorder="1" applyAlignment="1">
      <alignment horizontal="left" vertical="top" wrapText="1"/>
    </xf>
    <xf numFmtId="0" fontId="2" fillId="0" borderId="2" xfId="8" applyFont="1" applyBorder="1" applyAlignment="1">
      <alignment horizontal="left" vertical="top" wrapText="1"/>
    </xf>
    <xf numFmtId="0" fontId="35" fillId="0" borderId="1" xfId="8" applyFont="1" applyBorder="1" applyAlignment="1">
      <alignment horizontal="left" vertical="top" wrapText="1"/>
    </xf>
    <xf numFmtId="0" fontId="35" fillId="0" borderId="12" xfId="8" applyFont="1" applyBorder="1" applyAlignment="1">
      <alignment horizontal="left" vertical="top" wrapText="1"/>
    </xf>
    <xf numFmtId="0" fontId="35" fillId="0" borderId="3" xfId="8" applyFont="1" applyBorder="1" applyAlignment="1">
      <alignment horizontal="left" vertical="top" wrapText="1"/>
    </xf>
    <xf numFmtId="49" fontId="35" fillId="0" borderId="1" xfId="8" quotePrefix="1" applyNumberFormat="1" applyFont="1" applyFill="1" applyBorder="1" applyAlignment="1">
      <alignment horizontal="left" vertical="top" wrapText="1"/>
    </xf>
    <xf numFmtId="49" fontId="35" fillId="0" borderId="3" xfId="8" quotePrefix="1" applyNumberFormat="1" applyFont="1" applyFill="1" applyBorder="1" applyAlignment="1">
      <alignment horizontal="left" vertical="top" wrapText="1"/>
    </xf>
    <xf numFmtId="49" fontId="35" fillId="0" borderId="2" xfId="8" applyNumberFormat="1" applyFont="1" applyFill="1" applyBorder="1" applyAlignment="1">
      <alignment horizontal="left" vertical="top" wrapText="1"/>
    </xf>
    <xf numFmtId="49" fontId="35" fillId="0" borderId="3" xfId="8" applyNumberFormat="1" applyFont="1" applyFill="1" applyBorder="1" applyAlignment="1">
      <alignment horizontal="left" vertical="top" wrapText="1"/>
    </xf>
    <xf numFmtId="0" fontId="2" fillId="0" borderId="0" xfId="8" applyFont="1" applyBorder="1"/>
    <xf numFmtId="43" fontId="35" fillId="0" borderId="0" xfId="9" applyFont="1" applyBorder="1" applyAlignment="1">
      <alignment horizontal="left" vertical="top"/>
    </xf>
    <xf numFmtId="0" fontId="35" fillId="0" borderId="0" xfId="8" applyFont="1" applyBorder="1" applyAlignment="1">
      <alignment horizontal="left" vertical="top"/>
    </xf>
    <xf numFmtId="0" fontId="36" fillId="0" borderId="0" xfId="8" applyFont="1" applyFill="1" applyBorder="1" applyAlignment="1">
      <alignment horizontal="center"/>
    </xf>
    <xf numFmtId="0" fontId="35" fillId="0" borderId="0" xfId="8" applyFont="1" applyFill="1" applyBorder="1" applyAlignment="1">
      <alignment horizontal="center"/>
    </xf>
    <xf numFmtId="0" fontId="35" fillId="0" borderId="0" xfId="8" applyFont="1" applyFill="1" applyBorder="1"/>
    <xf numFmtId="0" fontId="36" fillId="0" borderId="0" xfId="10" applyFont="1" applyFill="1" applyBorder="1" applyAlignment="1"/>
    <xf numFmtId="43" fontId="35" fillId="0" borderId="0" xfId="9" applyFont="1" applyFill="1" applyBorder="1"/>
    <xf numFmtId="0" fontId="35" fillId="0" borderId="0" xfId="10" applyFont="1" applyFill="1" applyBorder="1" applyAlignment="1"/>
    <xf numFmtId="0" fontId="35" fillId="0" borderId="0" xfId="10" applyFont="1" applyFill="1" applyBorder="1"/>
    <xf numFmtId="0" fontId="36" fillId="0" borderId="0" xfId="8" applyFont="1" applyFill="1" applyBorder="1" applyAlignment="1"/>
    <xf numFmtId="0" fontId="52" fillId="0" borderId="0" xfId="8" applyFont="1" applyFill="1" applyBorder="1"/>
    <xf numFmtId="0" fontId="35" fillId="0" borderId="0" xfId="8" applyFont="1" applyFill="1" applyBorder="1" applyAlignment="1"/>
    <xf numFmtId="49" fontId="35" fillId="0" borderId="0" xfId="8" applyNumberFormat="1" applyFont="1" applyBorder="1" applyAlignment="1">
      <alignment horizontal="right" vertical="top" wrapText="1"/>
    </xf>
    <xf numFmtId="0" fontId="12" fillId="0" borderId="0" xfId="8" applyFont="1" applyBorder="1" applyAlignment="1">
      <alignment wrapText="1"/>
    </xf>
    <xf numFmtId="0" fontId="12" fillId="0" borderId="0" xfId="8" applyFont="1" applyAlignment="1">
      <alignment vertical="top"/>
    </xf>
    <xf numFmtId="0" fontId="12" fillId="0" borderId="0" xfId="8" applyFont="1" applyBorder="1" applyAlignment="1">
      <alignment vertical="top" wrapText="1"/>
    </xf>
    <xf numFmtId="0" fontId="8" fillId="3" borderId="3" xfId="8" applyFont="1" applyFill="1" applyBorder="1" applyAlignment="1">
      <alignment horizontal="center"/>
    </xf>
    <xf numFmtId="0" fontId="12" fillId="0" borderId="1" xfId="8" applyFont="1" applyBorder="1" applyAlignment="1">
      <alignment vertical="top"/>
    </xf>
    <xf numFmtId="0" fontId="12" fillId="0" borderId="3" xfId="8" applyFont="1" applyFill="1" applyBorder="1" applyAlignment="1">
      <alignment horizontal="left" vertical="center"/>
    </xf>
    <xf numFmtId="49" fontId="12" fillId="0" borderId="3" xfId="8" applyNumberFormat="1" applyFont="1" applyFill="1" applyBorder="1" applyAlignment="1">
      <alignment vertical="center" wrapText="1"/>
    </xf>
    <xf numFmtId="0" fontId="12" fillId="0" borderId="1" xfId="8" applyFont="1" applyFill="1" applyBorder="1" applyAlignment="1">
      <alignment horizontal="left" vertical="top" wrapText="1"/>
    </xf>
    <xf numFmtId="0" fontId="12" fillId="0" borderId="3" xfId="8" applyFont="1" applyFill="1" applyBorder="1" applyAlignment="1">
      <alignment horizontal="left" vertical="top" wrapText="1"/>
    </xf>
    <xf numFmtId="0" fontId="12" fillId="0" borderId="3" xfId="8" applyFont="1" applyBorder="1" applyAlignment="1">
      <alignment vertical="top"/>
    </xf>
    <xf numFmtId="49" fontId="12" fillId="0" borderId="1" xfId="8" applyNumberFormat="1" applyFont="1" applyFill="1" applyBorder="1" applyAlignment="1">
      <alignment vertical="top" wrapText="1"/>
    </xf>
    <xf numFmtId="0" fontId="12" fillId="3" borderId="3" xfId="8" applyFont="1" applyFill="1" applyBorder="1" applyAlignment="1">
      <alignment horizontal="center" vertical="top" wrapText="1"/>
    </xf>
    <xf numFmtId="0" fontId="12" fillId="3" borderId="3" xfId="8" applyFont="1" applyFill="1" applyBorder="1" applyAlignment="1">
      <alignment vertical="top" wrapText="1"/>
    </xf>
    <xf numFmtId="49" fontId="12" fillId="0" borderId="2" xfId="8" applyNumberFormat="1" applyFont="1" applyFill="1" applyBorder="1" applyAlignment="1">
      <alignment vertical="top" wrapText="1"/>
    </xf>
    <xf numFmtId="0" fontId="12" fillId="3" borderId="0" xfId="8" applyFont="1" applyFill="1"/>
    <xf numFmtId="0" fontId="12" fillId="3" borderId="0" xfId="8" applyFont="1" applyFill="1" applyBorder="1" applyAlignment="1">
      <alignment vertical="top" wrapText="1"/>
    </xf>
    <xf numFmtId="0" fontId="12" fillId="3" borderId="2" xfId="8" applyFont="1" applyFill="1" applyBorder="1" applyAlignment="1">
      <alignment vertical="top" wrapText="1"/>
    </xf>
    <xf numFmtId="0" fontId="12" fillId="3" borderId="6" xfId="8" applyFont="1" applyFill="1" applyBorder="1" applyAlignment="1">
      <alignment vertical="top" wrapText="1"/>
    </xf>
    <xf numFmtId="49" fontId="12" fillId="3" borderId="1" xfId="8" applyNumberFormat="1" applyFont="1" applyFill="1" applyBorder="1" applyAlignment="1">
      <alignment vertical="top" wrapText="1"/>
    </xf>
    <xf numFmtId="49" fontId="12" fillId="0" borderId="2" xfId="8" applyNumberFormat="1" applyFont="1" applyFill="1" applyBorder="1" applyAlignment="1">
      <alignment vertical="center" wrapText="1"/>
    </xf>
    <xf numFmtId="0" fontId="43" fillId="0" borderId="0" xfId="8" applyFont="1" applyAlignment="1">
      <alignment horizontal="center" vertical="distributed" textRotation="180"/>
    </xf>
    <xf numFmtId="0" fontId="12" fillId="0" borderId="2" xfId="8" applyFont="1" applyFill="1" applyBorder="1" applyAlignment="1">
      <alignment horizontal="left" vertical="center"/>
    </xf>
    <xf numFmtId="0" fontId="12" fillId="0" borderId="1" xfId="8" applyFont="1" applyFill="1" applyBorder="1" applyAlignment="1">
      <alignment vertical="top" wrapText="1"/>
    </xf>
    <xf numFmtId="0" fontId="12" fillId="0" borderId="3" xfId="8" applyFont="1" applyBorder="1" applyAlignment="1">
      <alignment horizontal="center" vertical="top"/>
    </xf>
    <xf numFmtId="0" fontId="12" fillId="0" borderId="3" xfId="8" applyFont="1" applyFill="1" applyBorder="1" applyAlignment="1">
      <alignment vertical="top" wrapText="1"/>
    </xf>
    <xf numFmtId="49" fontId="12" fillId="0" borderId="3" xfId="8" applyNumberFormat="1" applyFont="1" applyFill="1" applyBorder="1" applyAlignment="1">
      <alignment vertical="top" wrapText="1"/>
    </xf>
    <xf numFmtId="0" fontId="12" fillId="0" borderId="2" xfId="8" applyFont="1" applyBorder="1" applyAlignment="1">
      <alignment horizontal="center" vertical="top"/>
    </xf>
    <xf numFmtId="0" fontId="12" fillId="0" borderId="2" xfId="8" applyFont="1" applyFill="1" applyBorder="1" applyAlignment="1">
      <alignment vertical="top" wrapText="1"/>
    </xf>
    <xf numFmtId="49" fontId="12" fillId="0" borderId="1" xfId="8" applyNumberFormat="1" applyFont="1" applyFill="1" applyBorder="1" applyAlignment="1">
      <alignment horizontal="left" vertical="top" wrapText="1"/>
    </xf>
    <xf numFmtId="49" fontId="12" fillId="0" borderId="3" xfId="8" applyNumberFormat="1" applyFont="1" applyFill="1" applyBorder="1" applyAlignment="1">
      <alignment horizontal="left" vertical="top" wrapText="1"/>
    </xf>
    <xf numFmtId="0" fontId="12" fillId="0" borderId="19" xfId="8" applyFont="1" applyBorder="1" applyAlignment="1">
      <alignment horizontal="center"/>
    </xf>
    <xf numFmtId="0" fontId="12" fillId="0" borderId="15" xfId="8" applyFont="1" applyFill="1" applyBorder="1" applyAlignment="1">
      <alignment vertical="top" wrapText="1"/>
    </xf>
    <xf numFmtId="49" fontId="12" fillId="0" borderId="15" xfId="8" applyNumberFormat="1" applyFont="1" applyFill="1" applyBorder="1" applyAlignment="1">
      <alignment horizontal="left" vertical="top" wrapText="1"/>
    </xf>
    <xf numFmtId="49" fontId="12" fillId="0" borderId="15" xfId="8" applyNumberFormat="1" applyFont="1" applyFill="1" applyBorder="1" applyAlignment="1">
      <alignment vertical="top" wrapText="1"/>
    </xf>
    <xf numFmtId="49" fontId="12" fillId="0" borderId="26" xfId="8" applyNumberFormat="1" applyFont="1" applyFill="1" applyBorder="1" applyAlignment="1">
      <alignment vertical="top" wrapText="1"/>
    </xf>
    <xf numFmtId="43" fontId="8" fillId="0" borderId="58" xfId="9" applyFont="1" applyBorder="1" applyAlignment="1">
      <alignment vertical="center"/>
    </xf>
    <xf numFmtId="0" fontId="12" fillId="0" borderId="0" xfId="8" applyFont="1" applyFill="1" applyBorder="1" applyAlignment="1">
      <alignment horizontal="center"/>
    </xf>
    <xf numFmtId="0" fontId="2" fillId="0" borderId="0" xfId="8"/>
    <xf numFmtId="0" fontId="8" fillId="3" borderId="28" xfId="8" applyFont="1" applyFill="1" applyBorder="1" applyAlignment="1">
      <alignment horizontal="center"/>
    </xf>
    <xf numFmtId="0" fontId="8" fillId="3" borderId="9" xfId="8" applyFont="1" applyFill="1" applyBorder="1" applyAlignment="1">
      <alignment horizontal="center"/>
    </xf>
    <xf numFmtId="0" fontId="8" fillId="3" borderId="27" xfId="8" applyFont="1" applyFill="1" applyBorder="1" applyAlignment="1">
      <alignment horizontal="center"/>
    </xf>
    <xf numFmtId="0" fontId="12" fillId="0" borderId="7" xfId="8" applyFont="1" applyBorder="1" applyAlignment="1">
      <alignment horizontal="center"/>
    </xf>
    <xf numFmtId="0" fontId="8" fillId="0" borderId="0" xfId="8" applyFont="1" applyFill="1" applyBorder="1" applyAlignment="1">
      <alignment horizontal="center"/>
    </xf>
    <xf numFmtId="49" fontId="12" fillId="0" borderId="1" xfId="8" applyNumberFormat="1" applyFont="1" applyBorder="1" applyAlignment="1">
      <alignment horizontal="center"/>
    </xf>
    <xf numFmtId="49" fontId="12" fillId="0" borderId="3" xfId="8" applyNumberFormat="1" applyFont="1" applyBorder="1" applyAlignment="1">
      <alignment horizontal="center"/>
    </xf>
    <xf numFmtId="49" fontId="12" fillId="0" borderId="2" xfId="8" applyNumberFormat="1" applyFont="1" applyBorder="1" applyAlignment="1">
      <alignment horizontal="center"/>
    </xf>
    <xf numFmtId="49" fontId="12" fillId="0" borderId="5" xfId="8" applyNumberFormat="1" applyFont="1" applyBorder="1" applyAlignment="1">
      <alignment horizontal="center"/>
    </xf>
    <xf numFmtId="49" fontId="12" fillId="0" borderId="7" xfId="8" applyNumberFormat="1" applyFont="1" applyBorder="1" applyAlignment="1">
      <alignment horizontal="center"/>
    </xf>
    <xf numFmtId="0" fontId="35" fillId="0" borderId="0" xfId="8" applyFont="1" applyAlignment="1">
      <alignment horizontal="left" vertical="top"/>
    </xf>
    <xf numFmtId="0" fontId="36" fillId="0" borderId="0" xfId="8" applyFont="1"/>
    <xf numFmtId="0" fontId="35" fillId="0" borderId="0" xfId="8" applyFont="1"/>
    <xf numFmtId="0" fontId="35" fillId="0" borderId="0" xfId="8" applyFont="1" applyBorder="1" applyAlignment="1"/>
    <xf numFmtId="0" fontId="35" fillId="0" borderId="0" xfId="8" applyFont="1" applyBorder="1" applyAlignment="1">
      <alignment horizontal="left" wrapText="1"/>
    </xf>
    <xf numFmtId="49" fontId="35" fillId="0" borderId="19" xfId="8" applyNumberFormat="1" applyFont="1" applyBorder="1" applyAlignment="1">
      <alignment horizontal="center" vertical="top"/>
    </xf>
    <xf numFmtId="0" fontId="35" fillId="0" borderId="4" xfId="8" applyFont="1" applyFill="1" applyBorder="1" applyAlignment="1">
      <alignment horizontal="left" vertical="top" wrapText="1"/>
    </xf>
    <xf numFmtId="49" fontId="35" fillId="0" borderId="4" xfId="9" applyNumberFormat="1" applyFont="1" applyFill="1" applyBorder="1" applyAlignment="1">
      <alignment horizontal="left" vertical="top" wrapText="1"/>
    </xf>
    <xf numFmtId="0" fontId="35" fillId="0" borderId="4" xfId="8" applyFont="1" applyFill="1" applyBorder="1" applyAlignment="1">
      <alignment horizontal="center" vertical="center"/>
    </xf>
    <xf numFmtId="49" fontId="35" fillId="0" borderId="7" xfId="8" applyNumberFormat="1" applyFont="1" applyBorder="1" applyAlignment="1">
      <alignment horizontal="center" vertical="top"/>
    </xf>
    <xf numFmtId="49" fontId="35" fillId="0" borderId="4" xfId="8" applyNumberFormat="1" applyFont="1" applyBorder="1" applyAlignment="1">
      <alignment horizontal="center" vertical="top"/>
    </xf>
    <xf numFmtId="0" fontId="35" fillId="0" borderId="12" xfId="8" applyFont="1" applyFill="1" applyBorder="1" applyAlignment="1">
      <alignment horizontal="center" vertical="center"/>
    </xf>
    <xf numFmtId="49" fontId="35" fillId="0" borderId="0" xfId="8" applyNumberFormat="1" applyFont="1" applyBorder="1" applyAlignment="1">
      <alignment horizontal="center" vertical="top"/>
    </xf>
    <xf numFmtId="0" fontId="35" fillId="0" borderId="4" xfId="8" applyFont="1" applyBorder="1"/>
    <xf numFmtId="43" fontId="36" fillId="0" borderId="19" xfId="9" applyNumberFormat="1" applyFont="1" applyBorder="1" applyAlignment="1">
      <alignment horizontal="right" vertical="center"/>
    </xf>
    <xf numFmtId="43" fontId="36" fillId="0" borderId="15" xfId="9" applyNumberFormat="1" applyFont="1" applyBorder="1" applyAlignment="1">
      <alignment horizontal="right" vertical="center"/>
    </xf>
    <xf numFmtId="43" fontId="36" fillId="0" borderId="41" xfId="9" applyNumberFormat="1" applyFont="1" applyBorder="1" applyAlignment="1">
      <alignment horizontal="right" vertical="center"/>
    </xf>
    <xf numFmtId="0" fontId="35" fillId="0" borderId="0" xfId="8" applyFont="1" applyFill="1" applyBorder="1" applyAlignment="1">
      <alignment horizontal="left" vertical="top" wrapText="1"/>
    </xf>
    <xf numFmtId="49" fontId="35" fillId="0" borderId="0" xfId="9" applyNumberFormat="1" applyFont="1" applyFill="1" applyBorder="1" applyAlignment="1">
      <alignment horizontal="left" vertical="top" wrapText="1"/>
    </xf>
    <xf numFmtId="0" fontId="35" fillId="0" borderId="0" xfId="8" applyFont="1" applyFill="1" applyBorder="1" applyAlignment="1">
      <alignment horizontal="center" vertical="center"/>
    </xf>
    <xf numFmtId="43" fontId="36" fillId="0" borderId="0" xfId="9" applyNumberFormat="1" applyFont="1" applyBorder="1" applyAlignment="1">
      <alignment horizontal="right" vertical="center"/>
    </xf>
    <xf numFmtId="0" fontId="35" fillId="0" borderId="0" xfId="8" applyFont="1" applyBorder="1" applyAlignment="1">
      <alignment vertical="center"/>
    </xf>
    <xf numFmtId="49" fontId="36" fillId="0" borderId="0" xfId="8" applyNumberFormat="1" applyFont="1" applyFill="1" applyBorder="1" applyAlignment="1">
      <alignment horizontal="left" vertical="top" wrapText="1"/>
    </xf>
    <xf numFmtId="0" fontId="35" fillId="0" borderId="0" xfId="8" applyFont="1" applyBorder="1" applyAlignment="1">
      <alignment horizontal="center"/>
    </xf>
    <xf numFmtId="0" fontId="35" fillId="0" borderId="0" xfId="10" applyFont="1" applyFill="1" applyBorder="1" applyAlignment="1">
      <alignment horizontal="center"/>
    </xf>
    <xf numFmtId="43" fontId="52" fillId="0" borderId="0" xfId="9" applyFont="1" applyFill="1" applyBorder="1"/>
    <xf numFmtId="0" fontId="35" fillId="0" borderId="0" xfId="8" applyFont="1" applyAlignment="1">
      <alignment horizontal="left"/>
    </xf>
    <xf numFmtId="0" fontId="35" fillId="0" borderId="0" xfId="8" applyFont="1" applyAlignment="1"/>
    <xf numFmtId="49" fontId="35" fillId="0" borderId="0" xfId="8" applyNumberFormat="1" applyFont="1" applyBorder="1" applyAlignment="1">
      <alignment horizontal="center"/>
    </xf>
    <xf numFmtId="49" fontId="35" fillId="0" borderId="2" xfId="8" applyNumberFormat="1" applyFont="1" applyBorder="1" applyAlignment="1">
      <alignment horizontal="center"/>
    </xf>
    <xf numFmtId="0" fontId="35" fillId="0" borderId="2" xfId="8" applyFont="1" applyFill="1" applyBorder="1" applyAlignment="1">
      <alignment horizontal="left" wrapText="1"/>
    </xf>
    <xf numFmtId="0" fontId="2" fillId="0" borderId="0" xfId="8" applyFont="1" applyBorder="1" applyAlignment="1">
      <alignment horizontal="left" vertical="top"/>
    </xf>
    <xf numFmtId="0" fontId="35" fillId="0" borderId="2" xfId="8" applyFont="1" applyFill="1" applyBorder="1" applyAlignment="1">
      <alignment horizontal="left" vertical="top"/>
    </xf>
    <xf numFmtId="0" fontId="35" fillId="0" borderId="2" xfId="8" applyFont="1" applyBorder="1" applyAlignment="1">
      <alignment vertical="center"/>
    </xf>
    <xf numFmtId="0" fontId="36" fillId="0" borderId="2" xfId="8" applyFont="1" applyFill="1" applyBorder="1" applyAlignment="1">
      <alignment horizontal="left" wrapText="1"/>
    </xf>
    <xf numFmtId="0" fontId="35" fillId="0" borderId="2" xfId="8" applyFont="1" applyFill="1" applyBorder="1" applyAlignment="1">
      <alignment vertical="top" wrapText="1"/>
    </xf>
    <xf numFmtId="49" fontId="35" fillId="0" borderId="3" xfId="8" applyNumberFormat="1" applyFont="1" applyBorder="1" applyAlignment="1">
      <alignment horizontal="center"/>
    </xf>
    <xf numFmtId="0" fontId="35" fillId="0" borderId="3" xfId="8" applyFont="1" applyFill="1" applyBorder="1" applyAlignment="1">
      <alignment horizontal="left" vertical="top"/>
    </xf>
    <xf numFmtId="49" fontId="35" fillId="0" borderId="1" xfId="8" applyNumberFormat="1" applyFont="1" applyBorder="1" applyAlignment="1">
      <alignment horizontal="center"/>
    </xf>
    <xf numFmtId="0" fontId="36" fillId="0" borderId="2" xfId="8" applyFont="1" applyFill="1" applyBorder="1" applyAlignment="1">
      <alignment horizontal="left" vertical="top" wrapText="1"/>
    </xf>
    <xf numFmtId="49" fontId="35" fillId="0" borderId="9" xfId="9" applyNumberFormat="1" applyFont="1" applyFill="1" applyBorder="1" applyAlignment="1">
      <alignment horizontal="left" vertical="top" wrapText="1"/>
    </xf>
    <xf numFmtId="49" fontId="35" fillId="0" borderId="1" xfId="8" applyNumberFormat="1" applyFont="1" applyFill="1" applyBorder="1" applyAlignment="1">
      <alignment horizontal="left" vertical="top" wrapText="1"/>
    </xf>
    <xf numFmtId="0" fontId="35" fillId="0" borderId="1" xfId="8" applyFont="1" applyFill="1" applyBorder="1" applyAlignment="1">
      <alignment horizontal="left" vertical="top"/>
    </xf>
    <xf numFmtId="49" fontId="35" fillId="0" borderId="4" xfId="8" applyNumberFormat="1" applyFont="1" applyBorder="1" applyAlignment="1">
      <alignment horizontal="center"/>
    </xf>
    <xf numFmtId="49" fontId="35" fillId="0" borderId="15" xfId="9" applyNumberFormat="1" applyFont="1" applyFill="1" applyBorder="1" applyAlignment="1">
      <alignment horizontal="left" vertical="top" wrapText="1"/>
    </xf>
    <xf numFmtId="49" fontId="35" fillId="0" borderId="4" xfId="8" applyNumberFormat="1" applyFont="1" applyFill="1" applyBorder="1" applyAlignment="1">
      <alignment horizontal="left" vertical="top" wrapText="1"/>
    </xf>
    <xf numFmtId="0" fontId="35" fillId="0" borderId="4" xfId="8" applyFont="1" applyBorder="1" applyAlignment="1">
      <alignment vertical="center"/>
    </xf>
    <xf numFmtId="49" fontId="36" fillId="0" borderId="2" xfId="8" applyNumberFormat="1" applyFont="1" applyFill="1" applyBorder="1" applyAlignment="1">
      <alignment horizontal="left" vertical="top" wrapText="1"/>
    </xf>
    <xf numFmtId="0" fontId="35" fillId="0" borderId="3" xfId="8" applyFont="1" applyBorder="1" applyAlignment="1">
      <alignment vertical="center"/>
    </xf>
    <xf numFmtId="49" fontId="35" fillId="0" borderId="2" xfId="8" applyNumberFormat="1" applyFont="1" applyBorder="1" applyAlignment="1">
      <alignment horizontal="center" vertical="top"/>
    </xf>
    <xf numFmtId="0" fontId="35" fillId="0" borderId="19" xfId="8" applyFont="1" applyBorder="1" applyAlignment="1">
      <alignment vertical="center"/>
    </xf>
    <xf numFmtId="0" fontId="35" fillId="0" borderId="15" xfId="8" applyFont="1" applyBorder="1" applyAlignment="1">
      <alignment vertical="center"/>
    </xf>
    <xf numFmtId="49" fontId="35" fillId="0" borderId="15" xfId="8" applyNumberFormat="1" applyFont="1" applyFill="1" applyBorder="1" applyAlignment="1">
      <alignment horizontal="left" vertical="top" wrapText="1"/>
    </xf>
    <xf numFmtId="49" fontId="35" fillId="0" borderId="41" xfId="8" applyNumberFormat="1" applyFont="1" applyFill="1" applyBorder="1" applyAlignment="1">
      <alignment horizontal="left" vertical="top" wrapText="1"/>
    </xf>
    <xf numFmtId="43" fontId="36" fillId="0" borderId="10" xfId="8" applyNumberFormat="1" applyFont="1" applyFill="1" applyBorder="1" applyAlignment="1">
      <alignment horizontal="left" vertical="top" wrapText="1"/>
    </xf>
    <xf numFmtId="43" fontId="36" fillId="0" borderId="18" xfId="8" applyNumberFormat="1" applyFont="1" applyFill="1" applyBorder="1" applyAlignment="1">
      <alignment horizontal="left" vertical="top" wrapText="1"/>
    </xf>
    <xf numFmtId="43" fontId="36" fillId="0" borderId="40" xfId="8" applyNumberFormat="1" applyFont="1" applyFill="1" applyBorder="1" applyAlignment="1">
      <alignment horizontal="left" vertical="top" wrapText="1"/>
    </xf>
    <xf numFmtId="43" fontId="35" fillId="0" borderId="0" xfId="9" applyFont="1" applyBorder="1" applyAlignment="1">
      <alignment vertical="top"/>
    </xf>
    <xf numFmtId="0" fontId="8" fillId="3" borderId="6" xfId="8" applyFont="1" applyFill="1" applyBorder="1" applyAlignment="1">
      <alignment horizontal="center"/>
    </xf>
    <xf numFmtId="49" fontId="12" fillId="0" borderId="2" xfId="8" applyNumberFormat="1" applyFont="1" applyBorder="1"/>
    <xf numFmtId="0" fontId="12" fillId="0" borderId="1" xfId="8" applyFont="1" applyBorder="1"/>
    <xf numFmtId="0" fontId="12" fillId="0" borderId="0" xfId="8" applyFont="1" applyBorder="1" applyAlignment="1">
      <alignment horizontal="left" vertical="top" wrapText="1"/>
    </xf>
    <xf numFmtId="49" fontId="12" fillId="0" borderId="3" xfId="8" applyNumberFormat="1" applyFont="1" applyBorder="1"/>
    <xf numFmtId="49" fontId="12" fillId="0" borderId="4" xfId="8" applyNumberFormat="1" applyFont="1" applyBorder="1"/>
    <xf numFmtId="0" fontId="12" fillId="0" borderId="4" xfId="8" applyFont="1" applyFill="1" applyBorder="1" applyAlignment="1">
      <alignment vertical="top" wrapText="1"/>
    </xf>
    <xf numFmtId="49" fontId="12" fillId="0" borderId="2" xfId="8" applyNumberFormat="1" applyFont="1" applyBorder="1" applyAlignment="1">
      <alignment horizontal="center" vertical="top"/>
    </xf>
    <xf numFmtId="49" fontId="12" fillId="0" borderId="1" xfId="8" applyNumberFormat="1" applyFont="1" applyBorder="1" applyAlignment="1">
      <alignment horizontal="center" vertical="top"/>
    </xf>
    <xf numFmtId="49" fontId="12" fillId="0" borderId="4" xfId="8" applyNumberFormat="1" applyFont="1" applyBorder="1" applyAlignment="1">
      <alignment horizontal="center" vertical="top"/>
    </xf>
    <xf numFmtId="49" fontId="12" fillId="0" borderId="19" xfId="8" applyNumberFormat="1" applyFont="1" applyBorder="1"/>
    <xf numFmtId="0" fontId="12" fillId="0" borderId="15" xfId="8" applyFont="1" applyBorder="1" applyAlignment="1">
      <alignment horizontal="left" vertical="top" wrapText="1"/>
    </xf>
    <xf numFmtId="0" fontId="12" fillId="0" borderId="15" xfId="8" applyFont="1" applyFill="1" applyBorder="1" applyAlignment="1">
      <alignment horizontal="left" vertical="top" wrapText="1"/>
    </xf>
    <xf numFmtId="0" fontId="12" fillId="0" borderId="26" xfId="8" applyFont="1" applyBorder="1" applyAlignment="1">
      <alignment vertical="top" wrapText="1"/>
    </xf>
    <xf numFmtId="43" fontId="8" fillId="0" borderId="11" xfId="9" applyFont="1" applyBorder="1" applyAlignment="1">
      <alignment vertical="center"/>
    </xf>
    <xf numFmtId="0" fontId="12" fillId="0" borderId="2" xfId="8" applyFont="1" applyBorder="1" applyAlignment="1">
      <alignment horizontal="left" vertical="center" wrapText="1"/>
    </xf>
    <xf numFmtId="0" fontId="12" fillId="0" borderId="3" xfId="8" applyFont="1" applyBorder="1" applyAlignment="1">
      <alignment horizontal="left" vertical="center" wrapText="1"/>
    </xf>
    <xf numFmtId="0" fontId="12" fillId="0" borderId="15" xfId="8" applyFont="1" applyBorder="1" applyAlignment="1">
      <alignment horizontal="left" vertical="center" wrapText="1"/>
    </xf>
    <xf numFmtId="0" fontId="12" fillId="0" borderId="41" xfId="8" applyFont="1" applyBorder="1" applyAlignment="1">
      <alignment horizontal="left" vertical="top" wrapText="1"/>
    </xf>
    <xf numFmtId="43" fontId="8" fillId="0" borderId="18" xfId="9" applyFont="1" applyBorder="1" applyAlignment="1">
      <alignment vertical="center"/>
    </xf>
    <xf numFmtId="43" fontId="8" fillId="0" borderId="40" xfId="9" applyFont="1" applyBorder="1" applyAlignment="1">
      <alignment vertical="center"/>
    </xf>
    <xf numFmtId="0" fontId="12" fillId="0" borderId="0" xfId="8" applyFont="1" applyAlignment="1">
      <alignment horizontal="left" vertical="top"/>
    </xf>
    <xf numFmtId="0" fontId="12" fillId="0" borderId="1" xfId="8" applyFont="1" applyBorder="1" applyAlignment="1">
      <alignment horizontal="left" wrapText="1"/>
    </xf>
    <xf numFmtId="0" fontId="12" fillId="0" borderId="1" xfId="8" applyFont="1" applyBorder="1" applyAlignment="1">
      <alignment horizontal="left" vertical="top" wrapText="1"/>
    </xf>
    <xf numFmtId="0" fontId="12" fillId="0" borderId="2" xfId="8" applyFont="1" applyBorder="1" applyAlignment="1">
      <alignment vertical="center" wrapText="1"/>
    </xf>
    <xf numFmtId="0" fontId="12" fillId="0" borderId="2" xfId="8" applyFont="1" applyBorder="1" applyAlignment="1">
      <alignment horizontal="left" wrapText="1"/>
    </xf>
    <xf numFmtId="0" fontId="12" fillId="0" borderId="2" xfId="8" applyFont="1" applyBorder="1" applyAlignment="1">
      <alignment wrapText="1"/>
    </xf>
    <xf numFmtId="43" fontId="12" fillId="0" borderId="0" xfId="8" applyNumberFormat="1" applyFont="1"/>
    <xf numFmtId="0" fontId="12" fillId="0" borderId="15" xfId="8" applyFont="1" applyBorder="1" applyAlignment="1">
      <alignment vertical="center" wrapText="1"/>
    </xf>
    <xf numFmtId="0" fontId="19" fillId="0" borderId="0" xfId="8" applyFont="1"/>
    <xf numFmtId="4" fontId="10" fillId="0" borderId="0" xfId="0" applyNumberFormat="1" applyFont="1" applyBorder="1"/>
    <xf numFmtId="43" fontId="12" fillId="0" borderId="0" xfId="1" applyFont="1"/>
    <xf numFmtId="43" fontId="12" fillId="0" borderId="12" xfId="1" applyFont="1" applyBorder="1"/>
    <xf numFmtId="43" fontId="12" fillId="0" borderId="12" xfId="8" applyNumberFormat="1" applyFont="1" applyBorder="1"/>
    <xf numFmtId="43" fontId="8" fillId="0" borderId="18" xfId="8" applyNumberFormat="1" applyFont="1" applyBorder="1"/>
    <xf numFmtId="0" fontId="12" fillId="3" borderId="2" xfId="8" applyFont="1" applyFill="1" applyBorder="1" applyAlignment="1">
      <alignment horizontal="center" vertical="top" wrapText="1"/>
    </xf>
    <xf numFmtId="49" fontId="12" fillId="3" borderId="2" xfId="8" applyNumberFormat="1" applyFont="1" applyFill="1" applyBorder="1" applyAlignment="1">
      <alignment vertical="top" wrapText="1"/>
    </xf>
    <xf numFmtId="0" fontId="3" fillId="0" borderId="0" xfId="0" applyFont="1" applyBorder="1"/>
    <xf numFmtId="0" fontId="4" fillId="0" borderId="0" xfId="0" applyFont="1" applyBorder="1"/>
    <xf numFmtId="40" fontId="3" fillId="0" borderId="0" xfId="0" applyNumberFormat="1" applyFont="1" applyBorder="1"/>
    <xf numFmtId="0" fontId="6" fillId="0" borderId="0" xfId="0" applyFont="1" applyBorder="1" applyAlignment="1">
      <alignment horizontal="right"/>
    </xf>
    <xf numFmtId="40" fontId="6" fillId="0" borderId="0" xfId="0" applyNumberFormat="1" applyFont="1" applyAlignment="1">
      <alignment horizontal="center"/>
    </xf>
    <xf numFmtId="0" fontId="4" fillId="0" borderId="20" xfId="0" applyFont="1" applyBorder="1"/>
    <xf numFmtId="0" fontId="4" fillId="0" borderId="17" xfId="0" applyFont="1" applyBorder="1"/>
    <xf numFmtId="0" fontId="4" fillId="0" borderId="34" xfId="0" applyFont="1" applyBorder="1" applyAlignment="1">
      <alignment horizontal="center"/>
    </xf>
    <xf numFmtId="0" fontId="54" fillId="0" borderId="34" xfId="0" applyFont="1" applyBorder="1" applyAlignment="1">
      <alignment horizontal="center"/>
    </xf>
    <xf numFmtId="0" fontId="54" fillId="0" borderId="21" xfId="0" applyFont="1" applyBorder="1" applyAlignment="1"/>
    <xf numFmtId="0" fontId="54" fillId="0" borderId="2" xfId="0" applyFont="1" applyBorder="1" applyAlignment="1">
      <alignment horizontal="center"/>
    </xf>
    <xf numFmtId="0" fontId="5" fillId="0" borderId="2" xfId="0" applyFont="1" applyBorder="1" applyAlignment="1">
      <alignment horizontal="center"/>
    </xf>
    <xf numFmtId="0" fontId="54" fillId="0" borderId="36" xfId="0" applyFont="1" applyBorder="1" applyAlignment="1">
      <alignment horizontal="center"/>
    </xf>
    <xf numFmtId="0" fontId="4" fillId="0" borderId="22" xfId="0" applyFont="1" applyBorder="1"/>
    <xf numFmtId="0" fontId="4" fillId="0" borderId="2" xfId="0" applyFont="1" applyBorder="1" applyAlignment="1">
      <alignment horizontal="center"/>
    </xf>
    <xf numFmtId="0" fontId="54" fillId="0" borderId="2" xfId="0" quotePrefix="1" applyFont="1" applyBorder="1" applyAlignment="1">
      <alignment horizontal="center"/>
    </xf>
    <xf numFmtId="40" fontId="54" fillId="0" borderId="2" xfId="0" applyNumberFormat="1" applyFont="1" applyBorder="1" applyAlignment="1">
      <alignment horizontal="center"/>
    </xf>
    <xf numFmtId="0" fontId="54" fillId="0" borderId="36" xfId="0" quotePrefix="1" applyFont="1" applyBorder="1" applyAlignment="1">
      <alignment horizontal="center"/>
    </xf>
    <xf numFmtId="0" fontId="4" fillId="0" borderId="38" xfId="0" applyFont="1" applyBorder="1" applyAlignment="1">
      <alignment horizontal="center"/>
    </xf>
    <xf numFmtId="40" fontId="4" fillId="0" borderId="38" xfId="0" applyNumberFormat="1" applyFont="1" applyBorder="1" applyAlignment="1">
      <alignment horizontal="center"/>
    </xf>
    <xf numFmtId="0" fontId="4" fillId="0" borderId="39" xfId="0" applyFont="1" applyBorder="1" applyAlignment="1">
      <alignment horizontal="center"/>
    </xf>
    <xf numFmtId="0" fontId="54" fillId="0" borderId="47" xfId="0" applyFont="1" applyBorder="1"/>
    <xf numFmtId="0" fontId="54" fillId="0" borderId="48" xfId="0" applyFont="1" applyBorder="1"/>
    <xf numFmtId="0" fontId="54" fillId="0" borderId="55" xfId="0" applyFont="1" applyBorder="1" applyAlignment="1">
      <alignment horizontal="center"/>
    </xf>
    <xf numFmtId="0" fontId="14" fillId="0" borderId="55" xfId="0" applyFont="1" applyBorder="1" applyAlignment="1">
      <alignment horizontal="center"/>
    </xf>
    <xf numFmtId="43" fontId="14" fillId="0" borderId="55" xfId="0" applyNumberFormat="1" applyFont="1" applyBorder="1" applyAlignment="1">
      <alignment horizontal="center"/>
    </xf>
    <xf numFmtId="43" fontId="14" fillId="0" borderId="55" xfId="0" applyNumberFormat="1" applyFont="1" applyBorder="1" applyAlignment="1"/>
    <xf numFmtId="40" fontId="14" fillId="0" borderId="55" xfId="0" applyNumberFormat="1" applyFont="1" applyBorder="1" applyAlignment="1"/>
    <xf numFmtId="0" fontId="4" fillId="0" borderId="19" xfId="0" applyFont="1" applyBorder="1"/>
    <xf numFmtId="0" fontId="4" fillId="0" borderId="15" xfId="0" applyFont="1" applyBorder="1" applyAlignment="1">
      <alignment horizontal="left"/>
    </xf>
    <xf numFmtId="0" fontId="4" fillId="0" borderId="15" xfId="0" applyFont="1" applyBorder="1"/>
    <xf numFmtId="0" fontId="4" fillId="0" borderId="4" xfId="0" applyFont="1" applyBorder="1" applyAlignment="1">
      <alignment horizontal="center"/>
    </xf>
    <xf numFmtId="0" fontId="14" fillId="0" borderId="4" xfId="0" applyFont="1" applyBorder="1" applyAlignment="1">
      <alignment horizontal="center"/>
    </xf>
    <xf numFmtId="43" fontId="14" fillId="0" borderId="4" xfId="0" applyNumberFormat="1" applyFont="1" applyBorder="1" applyAlignment="1">
      <alignment horizontal="center"/>
    </xf>
    <xf numFmtId="43" fontId="14" fillId="0" borderId="4" xfId="0" applyNumberFormat="1" applyFont="1" applyBorder="1" applyAlignment="1"/>
    <xf numFmtId="43" fontId="14" fillId="0" borderId="4" xfId="2" applyNumberFormat="1" applyFont="1" applyBorder="1" applyAlignment="1"/>
    <xf numFmtId="43" fontId="14" fillId="0" borderId="4" xfId="1" quotePrefix="1" applyNumberFormat="1" applyFont="1" applyBorder="1" applyAlignment="1"/>
    <xf numFmtId="0" fontId="4" fillId="0" borderId="9" xfId="0" applyFont="1" applyBorder="1"/>
    <xf numFmtId="0" fontId="4" fillId="0" borderId="28" xfId="0" applyFont="1" applyBorder="1"/>
    <xf numFmtId="0" fontId="4" fillId="0" borderId="1" xfId="0" applyFont="1" applyBorder="1" applyAlignment="1">
      <alignment horizontal="center"/>
    </xf>
    <xf numFmtId="0" fontId="14" fillId="0" borderId="1" xfId="0" applyFont="1" applyBorder="1" applyAlignment="1">
      <alignment horizontal="center"/>
    </xf>
    <xf numFmtId="43" fontId="14" fillId="0" borderId="1" xfId="0" applyNumberFormat="1" applyFont="1" applyBorder="1" applyAlignment="1">
      <alignment horizontal="center"/>
    </xf>
    <xf numFmtId="43" fontId="14" fillId="0" borderId="2" xfId="0" applyNumberFormat="1" applyFont="1" applyBorder="1" applyAlignment="1"/>
    <xf numFmtId="43" fontId="14" fillId="0" borderId="2" xfId="1" applyNumberFormat="1" applyFont="1" applyBorder="1" applyAlignment="1"/>
    <xf numFmtId="40" fontId="14" fillId="0" borderId="2" xfId="1" quotePrefix="1" applyNumberFormat="1" applyFont="1" applyBorder="1" applyAlignment="1"/>
    <xf numFmtId="43" fontId="14" fillId="0" borderId="2" xfId="2" applyNumberFormat="1" applyFont="1" applyBorder="1" applyAlignment="1"/>
    <xf numFmtId="43" fontId="14" fillId="0" borderId="2" xfId="1" quotePrefix="1" applyNumberFormat="1" applyFont="1" applyBorder="1" applyAlignment="1"/>
    <xf numFmtId="0" fontId="54" fillId="0" borderId="52" xfId="0" applyFont="1" applyBorder="1"/>
    <xf numFmtId="0" fontId="54" fillId="0" borderId="56" xfId="0" applyFont="1" applyBorder="1"/>
    <xf numFmtId="0" fontId="54" fillId="0" borderId="50" xfId="0" applyFont="1" applyBorder="1" applyAlignment="1">
      <alignment horizontal="center"/>
    </xf>
    <xf numFmtId="0" fontId="15" fillId="0" borderId="50" xfId="0" applyFont="1" applyBorder="1" applyAlignment="1">
      <alignment horizontal="center"/>
    </xf>
    <xf numFmtId="43" fontId="15" fillId="0" borderId="50" xfId="0" applyNumberFormat="1" applyFont="1" applyBorder="1" applyAlignment="1">
      <alignment horizontal="center"/>
    </xf>
    <xf numFmtId="43" fontId="15" fillId="0" borderId="50" xfId="1" applyNumberFormat="1" applyFont="1" applyBorder="1" applyAlignment="1"/>
    <xf numFmtId="40" fontId="15" fillId="0" borderId="50" xfId="1" applyNumberFormat="1" applyFont="1" applyBorder="1" applyAlignment="1"/>
    <xf numFmtId="43" fontId="15" fillId="0" borderId="50" xfId="2" applyNumberFormat="1" applyFont="1" applyBorder="1" applyAlignment="1"/>
    <xf numFmtId="0" fontId="54" fillId="0" borderId="7" xfId="0" applyFont="1" applyBorder="1"/>
    <xf numFmtId="0" fontId="54" fillId="0" borderId="12" xfId="0" applyFont="1" applyBorder="1"/>
    <xf numFmtId="0" fontId="54" fillId="0" borderId="3" xfId="0" applyFont="1" applyBorder="1" applyAlignment="1">
      <alignment horizontal="center"/>
    </xf>
    <xf numFmtId="0" fontId="14" fillId="0" borderId="3" xfId="0" applyFont="1" applyBorder="1" applyAlignment="1">
      <alignment horizontal="center"/>
    </xf>
    <xf numFmtId="43" fontId="14" fillId="0" borderId="3" xfId="0" applyNumberFormat="1" applyFont="1" applyBorder="1" applyAlignment="1">
      <alignment horizontal="center"/>
    </xf>
    <xf numFmtId="43" fontId="14" fillId="0" borderId="3" xfId="0" applyNumberFormat="1" applyFont="1" applyBorder="1" applyAlignment="1"/>
    <xf numFmtId="43" fontId="14" fillId="0" borderId="3" xfId="1" applyNumberFormat="1" applyFont="1" applyBorder="1" applyAlignment="1"/>
    <xf numFmtId="40" fontId="14" fillId="0" borderId="3" xfId="1" applyNumberFormat="1" applyFont="1" applyBorder="1" applyAlignment="1"/>
    <xf numFmtId="0" fontId="54" fillId="0" borderId="19" xfId="0" applyFont="1" applyBorder="1"/>
    <xf numFmtId="0" fontId="54" fillId="0" borderId="15" xfId="0" applyFont="1" applyBorder="1"/>
    <xf numFmtId="0" fontId="54" fillId="0" borderId="4" xfId="0" applyFont="1" applyBorder="1" applyAlignment="1">
      <alignment horizontal="center"/>
    </xf>
    <xf numFmtId="43" fontId="14" fillId="0" borderId="4" xfId="1" applyNumberFormat="1" applyFont="1" applyBorder="1" applyAlignment="1"/>
    <xf numFmtId="40" fontId="14" fillId="0" borderId="4" xfId="1" applyNumberFormat="1" applyFont="1" applyBorder="1" applyAlignment="1"/>
    <xf numFmtId="0" fontId="4" fillId="0" borderId="4" xfId="0" quotePrefix="1" applyFont="1" applyBorder="1" applyAlignment="1">
      <alignment horizontal="center"/>
    </xf>
    <xf numFmtId="0" fontId="4" fillId="0" borderId="1" xfId="0" quotePrefix="1" applyFont="1" applyBorder="1" applyAlignment="1">
      <alignment horizontal="center"/>
    </xf>
    <xf numFmtId="43" fontId="14" fillId="0" borderId="1" xfId="0" applyNumberFormat="1" applyFont="1" applyBorder="1" applyAlignment="1"/>
    <xf numFmtId="43" fontId="14" fillId="0" borderId="1" xfId="1" applyNumberFormat="1" applyFont="1" applyBorder="1" applyAlignment="1"/>
    <xf numFmtId="40" fontId="14" fillId="0" borderId="1" xfId="1" applyNumberFormat="1" applyFont="1" applyBorder="1" applyAlignment="1"/>
    <xf numFmtId="43" fontId="15" fillId="0" borderId="50" xfId="0" applyNumberFormat="1" applyFont="1" applyBorder="1" applyAlignment="1"/>
    <xf numFmtId="40" fontId="15" fillId="0" borderId="50" xfId="0" applyNumberFormat="1" applyFont="1" applyBorder="1" applyAlignment="1"/>
    <xf numFmtId="0" fontId="4" fillId="0" borderId="7" xfId="0" applyFont="1" applyBorder="1"/>
    <xf numFmtId="0" fontId="4" fillId="0" borderId="12" xfId="0" applyFont="1" applyBorder="1"/>
    <xf numFmtId="0" fontId="4" fillId="0" borderId="3" xfId="0" applyFont="1" applyBorder="1" applyAlignment="1">
      <alignment horizontal="center"/>
    </xf>
    <xf numFmtId="0" fontId="4" fillId="3" borderId="4" xfId="0" quotePrefix="1" applyFont="1" applyFill="1" applyBorder="1" applyAlignment="1">
      <alignment horizontal="center"/>
    </xf>
    <xf numFmtId="0" fontId="4" fillId="0" borderId="52" xfId="0" applyFont="1" applyBorder="1"/>
    <xf numFmtId="40" fontId="14" fillId="0" borderId="3" xfId="0" applyNumberFormat="1" applyFont="1" applyBorder="1" applyAlignment="1"/>
    <xf numFmtId="0" fontId="54" fillId="0" borderId="46" xfId="0" applyFont="1" applyBorder="1"/>
    <xf numFmtId="43" fontId="15" fillId="0" borderId="51" xfId="0" applyNumberFormat="1" applyFont="1" applyBorder="1" applyAlignment="1"/>
    <xf numFmtId="0" fontId="54" fillId="0" borderId="0" xfId="0" applyFont="1" applyBorder="1"/>
    <xf numFmtId="4" fontId="15" fillId="0" borderId="0" xfId="0" applyNumberFormat="1" applyFont="1" applyBorder="1" applyAlignment="1">
      <alignment horizontal="center"/>
    </xf>
    <xf numFmtId="43" fontId="15" fillId="0" borderId="0" xfId="0" applyNumberFormat="1" applyFont="1" applyBorder="1" applyAlignment="1"/>
    <xf numFmtId="40" fontId="15" fillId="0" borderId="0" xfId="0" applyNumberFormat="1" applyFont="1" applyBorder="1" applyAlignment="1"/>
    <xf numFmtId="40" fontId="54" fillId="0" borderId="2" xfId="0" quotePrefix="1" applyNumberFormat="1" applyFont="1" applyBorder="1" applyAlignment="1">
      <alignment horizontal="center"/>
    </xf>
    <xf numFmtId="4" fontId="14" fillId="0" borderId="4" xfId="0" applyNumberFormat="1" applyFont="1" applyBorder="1" applyAlignment="1">
      <alignment horizontal="center"/>
    </xf>
    <xf numFmtId="0" fontId="4" fillId="0" borderId="41" xfId="0" applyFont="1" applyBorder="1"/>
    <xf numFmtId="0" fontId="4" fillId="3" borderId="15" xfId="0" applyFont="1" applyFill="1" applyBorder="1"/>
    <xf numFmtId="0" fontId="14" fillId="3" borderId="4" xfId="0" applyFont="1" applyFill="1" applyBorder="1" applyAlignment="1">
      <alignment horizontal="center"/>
    </xf>
    <xf numFmtId="4" fontId="14" fillId="0" borderId="1" xfId="0" applyNumberFormat="1" applyFont="1" applyBorder="1" applyAlignment="1">
      <alignment horizontal="center"/>
    </xf>
    <xf numFmtId="0" fontId="54" fillId="0" borderId="50" xfId="0" quotePrefix="1" applyFont="1" applyBorder="1" applyAlignment="1">
      <alignment horizontal="center"/>
    </xf>
    <xf numFmtId="4" fontId="15" fillId="0" borderId="50" xfId="0" applyNumberFormat="1" applyFont="1" applyBorder="1" applyAlignment="1">
      <alignment horizontal="center"/>
    </xf>
    <xf numFmtId="0" fontId="54" fillId="0" borderId="3" xfId="0" quotePrefix="1" applyFont="1" applyBorder="1" applyAlignment="1">
      <alignment horizontal="center"/>
    </xf>
    <xf numFmtId="0" fontId="15" fillId="0" borderId="3" xfId="0" applyFont="1" applyBorder="1" applyAlignment="1">
      <alignment horizontal="center"/>
    </xf>
    <xf numFmtId="4" fontId="15" fillId="0" borderId="3" xfId="0" applyNumberFormat="1" applyFont="1" applyBorder="1" applyAlignment="1">
      <alignment horizontal="center"/>
    </xf>
    <xf numFmtId="43" fontId="15" fillId="0" borderId="3" xfId="0" applyNumberFormat="1" applyFont="1" applyBorder="1" applyAlignment="1"/>
    <xf numFmtId="40" fontId="15" fillId="0" borderId="3" xfId="0" applyNumberFormat="1" applyFont="1" applyBorder="1" applyAlignment="1"/>
    <xf numFmtId="0" fontId="4" fillId="0" borderId="3" xfId="0" quotePrefix="1" applyFont="1" applyBorder="1" applyAlignment="1">
      <alignment horizontal="center"/>
    </xf>
    <xf numFmtId="4" fontId="14" fillId="0" borderId="3" xfId="0" applyNumberFormat="1" applyFont="1" applyBorder="1" applyAlignment="1">
      <alignment horizontal="center"/>
    </xf>
    <xf numFmtId="0" fontId="54" fillId="0" borderId="28" xfId="0" applyFont="1" applyBorder="1"/>
    <xf numFmtId="40" fontId="14" fillId="0" borderId="2" xfId="1" applyNumberFormat="1" applyFont="1" applyBorder="1" applyAlignment="1"/>
    <xf numFmtId="0" fontId="4" fillId="0" borderId="56" xfId="0" applyFont="1" applyBorder="1"/>
    <xf numFmtId="0" fontId="4" fillId="0" borderId="50" xfId="0" quotePrefix="1" applyFont="1" applyBorder="1" applyAlignment="1">
      <alignment horizontal="center"/>
    </xf>
    <xf numFmtId="0" fontId="14" fillId="0" borderId="50" xfId="0" applyFont="1" applyBorder="1" applyAlignment="1">
      <alignment horizontal="center"/>
    </xf>
    <xf numFmtId="4" fontId="14" fillId="0" borderId="50" xfId="0" applyNumberFormat="1" applyFont="1" applyBorder="1" applyAlignment="1">
      <alignment horizontal="center"/>
    </xf>
    <xf numFmtId="43" fontId="15" fillId="0" borderId="3" xfId="1" applyNumberFormat="1" applyFont="1" applyBorder="1" applyAlignment="1"/>
    <xf numFmtId="40" fontId="15" fillId="0" borderId="3" xfId="1" applyNumberFormat="1" applyFont="1" applyBorder="1" applyAlignment="1"/>
    <xf numFmtId="43" fontId="14" fillId="0" borderId="4" xfId="1" applyNumberFormat="1" applyFont="1" applyBorder="1"/>
    <xf numFmtId="40" fontId="14" fillId="0" borderId="4" xfId="1" applyNumberFormat="1" applyFont="1" applyBorder="1"/>
    <xf numFmtId="43" fontId="15" fillId="0" borderId="53" xfId="0" applyNumberFormat="1" applyFont="1" applyBorder="1" applyAlignment="1"/>
    <xf numFmtId="43" fontId="15" fillId="0" borderId="54" xfId="0" applyNumberFormat="1" applyFont="1" applyBorder="1" applyAlignment="1"/>
    <xf numFmtId="0" fontId="4" fillId="0" borderId="0" xfId="0" applyFont="1" applyBorder="1" applyAlignment="1">
      <alignment horizontal="center"/>
    </xf>
    <xf numFmtId="43" fontId="3" fillId="0" borderId="0" xfId="1" applyFont="1" applyBorder="1"/>
    <xf numFmtId="40" fontId="3" fillId="0" borderId="0" xfId="1" applyNumberFormat="1" applyFont="1" applyBorder="1"/>
    <xf numFmtId="0" fontId="58" fillId="0" borderId="0" xfId="0" applyFont="1" applyBorder="1" applyAlignment="1">
      <alignment horizontal="center"/>
    </xf>
    <xf numFmtId="40" fontId="58" fillId="0" borderId="0" xfId="0" applyNumberFormat="1" applyFont="1" applyBorder="1" applyAlignment="1">
      <alignment horizontal="center"/>
    </xf>
    <xf numFmtId="0" fontId="6" fillId="0" borderId="0" xfId="0" applyFont="1" applyBorder="1" applyAlignment="1">
      <alignment horizontal="left"/>
    </xf>
    <xf numFmtId="43" fontId="6" fillId="0" borderId="0" xfId="1" applyFont="1" applyBorder="1" applyAlignment="1"/>
    <xf numFmtId="43" fontId="3" fillId="0" borderId="0" xfId="1" applyFont="1" applyBorder="1" applyAlignment="1"/>
    <xf numFmtId="40" fontId="3" fillId="0" borderId="0" xfId="0" applyNumberFormat="1" applyFont="1"/>
    <xf numFmtId="0" fontId="4" fillId="0" borderId="55" xfId="0" applyFont="1" applyBorder="1" applyAlignment="1">
      <alignment horizontal="center"/>
    </xf>
    <xf numFmtId="4" fontId="14" fillId="0" borderId="55" xfId="0" applyNumberFormat="1" applyFont="1" applyBorder="1" applyAlignment="1">
      <alignment horizontal="center"/>
    </xf>
    <xf numFmtId="43" fontId="59" fillId="0" borderId="55" xfId="2" applyNumberFormat="1" applyFont="1" applyBorder="1"/>
    <xf numFmtId="43" fontId="59" fillId="0" borderId="4" xfId="0" applyNumberFormat="1" applyFont="1" applyBorder="1" applyAlignment="1">
      <alignment horizontal="right"/>
    </xf>
    <xf numFmtId="43" fontId="59" fillId="0" borderId="4" xfId="1" applyNumberFormat="1" applyFont="1" applyBorder="1" applyAlignment="1">
      <alignment horizontal="right"/>
    </xf>
    <xf numFmtId="40" fontId="59" fillId="0" borderId="4" xfId="1" applyNumberFormat="1" applyFont="1" applyBorder="1" applyAlignment="1">
      <alignment horizontal="right"/>
    </xf>
    <xf numFmtId="43" fontId="14" fillId="0" borderId="4" xfId="0" applyNumberFormat="1" applyFont="1" applyBorder="1" applyAlignment="1">
      <alignment horizontal="right"/>
    </xf>
    <xf numFmtId="43" fontId="14" fillId="0" borderId="4" xfId="1" applyNumberFormat="1" applyFont="1" applyBorder="1" applyAlignment="1">
      <alignment horizontal="right"/>
    </xf>
    <xf numFmtId="40" fontId="14" fillId="0" borderId="4" xfId="1" applyNumberFormat="1" applyFont="1" applyBorder="1" applyAlignment="1">
      <alignment horizontal="right"/>
    </xf>
    <xf numFmtId="43" fontId="14" fillId="0" borderId="2" xfId="0" applyNumberFormat="1" applyFont="1" applyBorder="1" applyAlignment="1">
      <alignment horizontal="right"/>
    </xf>
    <xf numFmtId="43" fontId="14" fillId="0" borderId="2" xfId="1" applyNumberFormat="1" applyFont="1" applyBorder="1" applyAlignment="1">
      <alignment horizontal="right"/>
    </xf>
    <xf numFmtId="43" fontId="15" fillId="0" borderId="50" xfId="0" applyNumberFormat="1" applyFont="1" applyBorder="1" applyAlignment="1">
      <alignment horizontal="right"/>
    </xf>
    <xf numFmtId="40" fontId="15" fillId="0" borderId="50" xfId="0" applyNumberFormat="1" applyFont="1" applyBorder="1" applyAlignment="1">
      <alignment horizontal="right"/>
    </xf>
    <xf numFmtId="43" fontId="14" fillId="0" borderId="3" xfId="0" applyNumberFormat="1" applyFont="1" applyBorder="1" applyAlignment="1">
      <alignment horizontal="right"/>
    </xf>
    <xf numFmtId="43" fontId="14" fillId="0" borderId="3" xfId="1" applyNumberFormat="1" applyFont="1" applyBorder="1" applyAlignment="1">
      <alignment horizontal="right"/>
    </xf>
    <xf numFmtId="40" fontId="14" fillId="0" borderId="3" xfId="1" applyNumberFormat="1" applyFont="1" applyBorder="1" applyAlignment="1">
      <alignment horizontal="right"/>
    </xf>
    <xf numFmtId="43" fontId="14" fillId="0" borderId="1" xfId="0" applyNumberFormat="1" applyFont="1" applyBorder="1" applyAlignment="1">
      <alignment horizontal="right"/>
    </xf>
    <xf numFmtId="43" fontId="14" fillId="0" borderId="1" xfId="1" applyNumberFormat="1" applyFont="1" applyBorder="1" applyAlignment="1">
      <alignment horizontal="right"/>
    </xf>
    <xf numFmtId="43" fontId="14" fillId="0" borderId="1" xfId="2" applyNumberFormat="1" applyFont="1" applyBorder="1"/>
    <xf numFmtId="43" fontId="15" fillId="0" borderId="51" xfId="0" applyNumberFormat="1" applyFont="1" applyBorder="1" applyAlignment="1">
      <alignment horizontal="right"/>
    </xf>
    <xf numFmtId="43" fontId="15" fillId="0" borderId="0" xfId="0" applyNumberFormat="1" applyFont="1" applyBorder="1" applyAlignment="1">
      <alignment horizontal="right"/>
    </xf>
    <xf numFmtId="40" fontId="15" fillId="0" borderId="0" xfId="0" applyNumberFormat="1" applyFont="1" applyBorder="1" applyAlignment="1">
      <alignment horizontal="right"/>
    </xf>
    <xf numFmtId="0" fontId="4" fillId="0" borderId="24" xfId="0" applyFont="1" applyBorder="1"/>
    <xf numFmtId="0" fontId="4" fillId="0" borderId="14" xfId="0" applyFont="1" applyBorder="1"/>
    <xf numFmtId="43" fontId="14" fillId="0" borderId="4" xfId="2" applyNumberFormat="1" applyFont="1" applyBorder="1"/>
    <xf numFmtId="40" fontId="14" fillId="0" borderId="4" xfId="2" applyNumberFormat="1" applyFont="1" applyBorder="1"/>
    <xf numFmtId="0" fontId="4" fillId="0" borderId="60" xfId="0" applyFont="1" applyBorder="1"/>
    <xf numFmtId="4" fontId="14" fillId="0" borderId="2" xfId="0" applyNumberFormat="1" applyFont="1" applyBorder="1" applyAlignment="1">
      <alignment horizontal="center"/>
    </xf>
    <xf numFmtId="43" fontId="14" fillId="0" borderId="2" xfId="2" applyNumberFormat="1" applyFont="1" applyBorder="1"/>
    <xf numFmtId="0" fontId="54" fillId="0" borderId="26" xfId="0" applyFont="1" applyBorder="1"/>
    <xf numFmtId="0" fontId="54" fillId="0" borderId="3" xfId="0" applyFont="1" applyBorder="1"/>
    <xf numFmtId="43" fontId="15" fillId="0" borderId="3" xfId="0" applyNumberFormat="1" applyFont="1" applyBorder="1" applyAlignment="1">
      <alignment horizontal="right"/>
    </xf>
    <xf numFmtId="40" fontId="15" fillId="0" borderId="3" xfId="0" applyNumberFormat="1" applyFont="1" applyBorder="1" applyAlignment="1">
      <alignment horizontal="right"/>
    </xf>
    <xf numFmtId="0" fontId="60" fillId="0" borderId="0" xfId="0" applyFont="1" applyBorder="1"/>
    <xf numFmtId="0" fontId="60" fillId="0" borderId="0" xfId="0" applyFont="1" applyBorder="1" applyAlignment="1">
      <alignment horizontal="center"/>
    </xf>
    <xf numFmtId="0" fontId="7" fillId="0" borderId="0" xfId="0" applyFont="1" applyBorder="1" applyAlignment="1">
      <alignment horizontal="center"/>
    </xf>
    <xf numFmtId="43" fontId="7" fillId="0" borderId="0" xfId="1" applyFont="1" applyBorder="1"/>
    <xf numFmtId="40" fontId="7" fillId="0" borderId="0" xfId="1" applyNumberFormat="1" applyFont="1" applyBorder="1"/>
    <xf numFmtId="0" fontId="7" fillId="0" borderId="0" xfId="0" applyFont="1"/>
    <xf numFmtId="0" fontId="62" fillId="0" borderId="0" xfId="0" applyFont="1" applyBorder="1" applyAlignment="1">
      <alignment horizontal="center"/>
    </xf>
    <xf numFmtId="0" fontId="16" fillId="0" borderId="0" xfId="0" applyFont="1" applyBorder="1" applyAlignment="1">
      <alignment horizontal="left"/>
    </xf>
    <xf numFmtId="0" fontId="63" fillId="0" borderId="0" xfId="0" applyFont="1" applyBorder="1" applyAlignment="1">
      <alignment horizontal="center"/>
    </xf>
    <xf numFmtId="40" fontId="62" fillId="0" borderId="0" xfId="0" applyNumberFormat="1" applyFont="1" applyBorder="1" applyAlignment="1">
      <alignment horizontal="center"/>
    </xf>
    <xf numFmtId="0" fontId="59" fillId="0" borderId="0" xfId="0" applyFont="1" applyBorder="1"/>
    <xf numFmtId="0" fontId="16" fillId="0" borderId="0" xfId="0" applyFont="1" applyBorder="1"/>
    <xf numFmtId="43" fontId="59" fillId="0" borderId="0" xfId="1" applyFont="1" applyBorder="1"/>
    <xf numFmtId="40" fontId="59" fillId="0" borderId="0" xfId="1" applyNumberFormat="1" applyFont="1" applyBorder="1"/>
    <xf numFmtId="0" fontId="59" fillId="0" borderId="0" xfId="0" applyFont="1"/>
    <xf numFmtId="43" fontId="16" fillId="0" borderId="0" xfId="1" applyFont="1" applyBorder="1" applyAlignment="1"/>
    <xf numFmtId="43" fontId="59" fillId="0" borderId="0" xfId="1" applyFont="1" applyBorder="1" applyAlignment="1"/>
    <xf numFmtId="0" fontId="7" fillId="0" borderId="0" xfId="0" applyFont="1" applyBorder="1"/>
    <xf numFmtId="43" fontId="7" fillId="0" borderId="0" xfId="0" applyNumberFormat="1" applyFont="1" applyBorder="1" applyAlignment="1">
      <alignment horizontal="center"/>
    </xf>
    <xf numFmtId="43" fontId="7" fillId="0" borderId="0" xfId="1" applyFont="1" applyAlignment="1">
      <alignment horizontal="center"/>
    </xf>
    <xf numFmtId="43" fontId="7" fillId="0" borderId="0" xfId="1" applyFont="1"/>
    <xf numFmtId="43" fontId="9" fillId="0" borderId="0" xfId="1" applyFont="1"/>
    <xf numFmtId="39" fontId="15" fillId="0" borderId="53" xfId="0" applyNumberFormat="1" applyFont="1" applyBorder="1" applyAlignment="1"/>
    <xf numFmtId="0" fontId="15" fillId="0" borderId="0" xfId="0" applyFont="1" applyBorder="1"/>
    <xf numFmtId="0" fontId="14" fillId="0" borderId="0" xfId="0" applyFont="1" applyBorder="1"/>
    <xf numFmtId="0" fontId="15" fillId="0" borderId="0" xfId="0" applyFont="1" applyBorder="1" applyAlignment="1">
      <alignment horizontal="right"/>
    </xf>
    <xf numFmtId="0" fontId="54" fillId="0" borderId="35" xfId="0" applyFont="1" applyBorder="1" applyAlignment="1">
      <alignment horizontal="center"/>
    </xf>
    <xf numFmtId="0" fontId="4" fillId="0" borderId="41" xfId="0" quotePrefix="1" applyFont="1" applyBorder="1" applyAlignment="1">
      <alignment horizontal="center"/>
    </xf>
    <xf numFmtId="43" fontId="14" fillId="0" borderId="0" xfId="1" applyFont="1" applyBorder="1"/>
    <xf numFmtId="43" fontId="14" fillId="0" borderId="0" xfId="0" applyNumberFormat="1" applyFont="1" applyBorder="1" applyAlignment="1">
      <alignment horizontal="center"/>
    </xf>
    <xf numFmtId="0" fontId="15" fillId="0" borderId="0" xfId="0" applyFont="1" applyBorder="1" applyAlignment="1">
      <alignment horizontal="left"/>
    </xf>
    <xf numFmtId="43" fontId="15" fillId="0" borderId="0" xfId="1" applyFont="1" applyBorder="1"/>
    <xf numFmtId="43" fontId="15" fillId="0" borderId="0" xfId="1" applyFont="1" applyBorder="1" applyAlignment="1">
      <alignment vertical="top"/>
    </xf>
    <xf numFmtId="0" fontId="14" fillId="0" borderId="0" xfId="0" applyFont="1" applyBorder="1" applyAlignment="1">
      <alignment horizontal="left"/>
    </xf>
    <xf numFmtId="0" fontId="14" fillId="0" borderId="0" xfId="0" applyFont="1" applyBorder="1" applyAlignment="1"/>
    <xf numFmtId="43" fontId="3" fillId="0" borderId="0" xfId="0" applyNumberFormat="1" applyFont="1"/>
    <xf numFmtId="0" fontId="14" fillId="0" borderId="0" xfId="0" applyFont="1"/>
    <xf numFmtId="0" fontId="4" fillId="0" borderId="42" xfId="0" applyFont="1" applyBorder="1"/>
    <xf numFmtId="0" fontId="54" fillId="0" borderId="43" xfId="0" applyFont="1" applyBorder="1" applyAlignment="1">
      <alignment horizontal="center"/>
    </xf>
    <xf numFmtId="0" fontId="4" fillId="0" borderId="44" xfId="0" applyFont="1" applyBorder="1" applyAlignment="1">
      <alignment horizontal="center"/>
    </xf>
    <xf numFmtId="0" fontId="4" fillId="0" borderId="47" xfId="0" applyFont="1" applyBorder="1" applyAlignment="1">
      <alignment horizontal="left"/>
    </xf>
    <xf numFmtId="0" fontId="4" fillId="0" borderId="48" xfId="0" applyFont="1" applyBorder="1" applyAlignment="1">
      <alignment horizontal="left"/>
    </xf>
    <xf numFmtId="0" fontId="4" fillId="0" borderId="49" xfId="0" applyFont="1" applyBorder="1" applyAlignment="1">
      <alignment horizontal="left"/>
    </xf>
    <xf numFmtId="0" fontId="4" fillId="0" borderId="55" xfId="0" applyFont="1" applyBorder="1" applyAlignment="1">
      <alignment horizontal="left"/>
    </xf>
    <xf numFmtId="43" fontId="4" fillId="0" borderId="49" xfId="0" applyNumberFormat="1" applyFont="1" applyBorder="1" applyAlignment="1">
      <alignment horizontal="center"/>
    </xf>
    <xf numFmtId="43" fontId="4" fillId="0" borderId="55" xfId="1" applyNumberFormat="1" applyFont="1" applyBorder="1"/>
    <xf numFmtId="0" fontId="14" fillId="0" borderId="19" xfId="0" applyFont="1" applyBorder="1" applyAlignment="1">
      <alignment horizontal="center"/>
    </xf>
    <xf numFmtId="0" fontId="12" fillId="0" borderId="19" xfId="0" applyFont="1" applyBorder="1" applyAlignment="1">
      <alignment horizontal="left"/>
    </xf>
    <xf numFmtId="0" fontId="12" fillId="0" borderId="15" xfId="0" applyFont="1" applyBorder="1" applyAlignment="1">
      <alignment horizontal="left"/>
    </xf>
    <xf numFmtId="0" fontId="12" fillId="0" borderId="41" xfId="0" applyFont="1" applyBorder="1" applyAlignment="1">
      <alignment horizontal="left"/>
    </xf>
    <xf numFmtId="43" fontId="14" fillId="0" borderId="15" xfId="0" applyNumberFormat="1" applyFont="1" applyBorder="1"/>
    <xf numFmtId="0" fontId="14" fillId="0" borderId="9" xfId="0" applyFont="1" applyBorder="1" applyAlignment="1">
      <alignment horizontal="center"/>
    </xf>
    <xf numFmtId="0" fontId="12" fillId="0" borderId="9" xfId="0" applyFont="1" applyBorder="1" applyAlignment="1">
      <alignment horizontal="left"/>
    </xf>
    <xf numFmtId="0" fontId="12" fillId="0" borderId="28" xfId="0" applyFont="1" applyBorder="1" applyAlignment="1">
      <alignment horizontal="left"/>
    </xf>
    <xf numFmtId="0" fontId="12" fillId="0" borderId="27" xfId="0" applyFont="1" applyBorder="1" applyAlignment="1">
      <alignment horizontal="left"/>
    </xf>
    <xf numFmtId="43" fontId="14" fillId="0" borderId="28" xfId="0" applyNumberFormat="1" applyFont="1" applyBorder="1"/>
    <xf numFmtId="43" fontId="14" fillId="0" borderId="1" xfId="1" applyNumberFormat="1" applyFont="1" applyBorder="1"/>
    <xf numFmtId="0" fontId="4" fillId="3" borderId="0" xfId="0" applyFont="1" applyFill="1"/>
    <xf numFmtId="0" fontId="15" fillId="0" borderId="0" xfId="0" applyFont="1"/>
    <xf numFmtId="43" fontId="4" fillId="0" borderId="0" xfId="1" applyFont="1" applyBorder="1"/>
    <xf numFmtId="43" fontId="15" fillId="0" borderId="0" xfId="1" applyFont="1" applyBorder="1" applyAlignment="1">
      <alignment horizontal="left" vertical="top"/>
    </xf>
    <xf numFmtId="43" fontId="18" fillId="0" borderId="0" xfId="0" quotePrefix="1" applyNumberFormat="1" applyFont="1" applyBorder="1" applyAlignment="1"/>
    <xf numFmtId="43" fontId="4" fillId="0" borderId="0" xfId="0" applyNumberFormat="1" applyFont="1"/>
    <xf numFmtId="0" fontId="15" fillId="0" borderId="46" xfId="0" applyFont="1" applyBorder="1" applyAlignment="1">
      <alignment horizontal="left"/>
    </xf>
    <xf numFmtId="0" fontId="12" fillId="0" borderId="52" xfId="0" applyFont="1" applyBorder="1" applyAlignment="1">
      <alignment horizontal="left"/>
    </xf>
    <xf numFmtId="0" fontId="12" fillId="0" borderId="56" xfId="0" applyFont="1" applyBorder="1" applyAlignment="1">
      <alignment horizontal="left"/>
    </xf>
    <xf numFmtId="0" fontId="12" fillId="0" borderId="59" xfId="0" applyFont="1" applyBorder="1" applyAlignment="1">
      <alignment horizontal="left"/>
    </xf>
    <xf numFmtId="43" fontId="15" fillId="0" borderId="50" xfId="0" applyNumberFormat="1" applyFont="1" applyBorder="1"/>
    <xf numFmtId="0" fontId="54" fillId="0" borderId="0" xfId="0" applyFont="1"/>
    <xf numFmtId="0" fontId="14" fillId="0" borderId="22" xfId="0" applyFont="1" applyBorder="1" applyAlignment="1">
      <alignment horizontal="center"/>
    </xf>
    <xf numFmtId="0" fontId="14" fillId="0" borderId="2" xfId="0" applyFont="1" applyBorder="1" applyAlignment="1">
      <alignment horizontal="center"/>
    </xf>
    <xf numFmtId="0" fontId="12" fillId="0" borderId="5" xfId="0" applyFont="1" applyBorder="1" applyAlignment="1">
      <alignment horizontal="left"/>
    </xf>
    <xf numFmtId="0" fontId="12" fillId="0" borderId="0" xfId="0" applyFont="1" applyBorder="1" applyAlignment="1">
      <alignment horizontal="left"/>
    </xf>
    <xf numFmtId="0" fontId="12" fillId="0" borderId="6" xfId="0" applyFont="1" applyBorder="1" applyAlignment="1">
      <alignment horizontal="left"/>
    </xf>
    <xf numFmtId="43" fontId="14" fillId="0" borderId="0" xfId="0" applyNumberFormat="1" applyFont="1" applyBorder="1"/>
    <xf numFmtId="43" fontId="14" fillId="0" borderId="2" xfId="1" applyNumberFormat="1" applyFont="1" applyBorder="1"/>
    <xf numFmtId="43" fontId="14" fillId="0" borderId="36" xfId="1" applyNumberFormat="1" applyFont="1" applyBorder="1"/>
    <xf numFmtId="0" fontId="14" fillId="0" borderId="46" xfId="0" applyFont="1" applyBorder="1" applyAlignment="1">
      <alignment horizontal="center"/>
    </xf>
    <xf numFmtId="0" fontId="8" fillId="0" borderId="52" xfId="0" applyFont="1" applyBorder="1" applyAlignment="1">
      <alignment horizontal="left"/>
    </xf>
    <xf numFmtId="0" fontId="8" fillId="0" borderId="56" xfId="0" applyFont="1" applyBorder="1" applyAlignment="1">
      <alignment horizontal="left"/>
    </xf>
    <xf numFmtId="0" fontId="8" fillId="0" borderId="59" xfId="0" applyFont="1" applyBorder="1" applyAlignment="1">
      <alignment horizontal="left"/>
    </xf>
    <xf numFmtId="43" fontId="15" fillId="0" borderId="52" xfId="0" applyNumberFormat="1" applyFont="1" applyBorder="1"/>
    <xf numFmtId="43" fontId="15" fillId="0" borderId="51" xfId="0" applyNumberFormat="1" applyFont="1" applyBorder="1"/>
    <xf numFmtId="43" fontId="14" fillId="0" borderId="0" xfId="1" applyFont="1" applyBorder="1" applyAlignment="1">
      <alignment horizontal="left"/>
    </xf>
    <xf numFmtId="4" fontId="4" fillId="0" borderId="0" xfId="0" applyNumberFormat="1" applyFont="1"/>
    <xf numFmtId="0" fontId="4" fillId="4" borderId="0" xfId="0" applyFont="1" applyFill="1"/>
    <xf numFmtId="43" fontId="4" fillId="4" borderId="0" xfId="0" applyNumberFormat="1" applyFont="1" applyFill="1"/>
    <xf numFmtId="43" fontId="4" fillId="2" borderId="0" xfId="0" applyNumberFormat="1" applyFont="1" applyFill="1"/>
    <xf numFmtId="43" fontId="4" fillId="0" borderId="0" xfId="1" applyFont="1"/>
    <xf numFmtId="0" fontId="6" fillId="0" borderId="0" xfId="0" applyFont="1" applyAlignment="1">
      <alignment horizontal="center"/>
    </xf>
    <xf numFmtId="0" fontId="54" fillId="0" borderId="0" xfId="0" applyFont="1" applyBorder="1" applyAlignment="1">
      <alignment horizontal="center"/>
    </xf>
    <xf numFmtId="0" fontId="16" fillId="0" borderId="0" xfId="0" applyFont="1" applyBorder="1" applyAlignment="1">
      <alignment horizontal="center"/>
    </xf>
    <xf numFmtId="0" fontId="59" fillId="0" borderId="0" xfId="0" applyFont="1" applyBorder="1" applyAlignment="1">
      <alignment horizontal="center"/>
    </xf>
    <xf numFmtId="0" fontId="3" fillId="0" borderId="0" xfId="0" applyFont="1" applyBorder="1" applyAlignment="1">
      <alignment horizontal="center"/>
    </xf>
    <xf numFmtId="0" fontId="6" fillId="0" borderId="0" xfId="0" applyFont="1" applyBorder="1" applyAlignment="1">
      <alignment horizontal="center"/>
    </xf>
    <xf numFmtId="0" fontId="57" fillId="0" borderId="0" xfId="0" applyFont="1" applyBorder="1" applyAlignment="1">
      <alignment horizontal="center"/>
    </xf>
    <xf numFmtId="0" fontId="54" fillId="0" borderId="0" xfId="0" applyFont="1" applyAlignment="1">
      <alignment horizontal="center"/>
    </xf>
    <xf numFmtId="0" fontId="14" fillId="0" borderId="0" xfId="0" applyFont="1" applyBorder="1" applyAlignment="1">
      <alignment horizontal="center"/>
    </xf>
    <xf numFmtId="0" fontId="15" fillId="0" borderId="0" xfId="0" applyFont="1" applyBorder="1" applyAlignment="1">
      <alignment horizontal="center"/>
    </xf>
    <xf numFmtId="0" fontId="3" fillId="0" borderId="0" xfId="0" applyFont="1" applyAlignment="1">
      <alignment horizontal="center"/>
    </xf>
    <xf numFmtId="0" fontId="9" fillId="0" borderId="0" xfId="0" applyFont="1" applyBorder="1" applyAlignment="1">
      <alignment horizontal="center"/>
    </xf>
    <xf numFmtId="43" fontId="3" fillId="3" borderId="0" xfId="0" applyNumberFormat="1" applyFont="1" applyFill="1"/>
    <xf numFmtId="0" fontId="14" fillId="3" borderId="19" xfId="0" applyFont="1" applyFill="1" applyBorder="1" applyAlignment="1">
      <alignment horizontal="center"/>
    </xf>
    <xf numFmtId="0" fontId="12" fillId="3" borderId="19" xfId="0" applyFont="1" applyFill="1" applyBorder="1" applyAlignment="1">
      <alignment horizontal="left"/>
    </xf>
    <xf numFmtId="0" fontId="12" fillId="3" borderId="15" xfId="0" applyFont="1" applyFill="1" applyBorder="1" applyAlignment="1">
      <alignment horizontal="left"/>
    </xf>
    <xf numFmtId="0" fontId="12" fillId="3" borderId="41" xfId="0" applyFont="1" applyFill="1" applyBorder="1" applyAlignment="1">
      <alignment horizontal="left"/>
    </xf>
    <xf numFmtId="43" fontId="14" fillId="3" borderId="4" xfId="1" applyNumberFormat="1" applyFont="1" applyFill="1" applyBorder="1"/>
    <xf numFmtId="0" fontId="15" fillId="0" borderId="24" xfId="0" applyFont="1" applyBorder="1"/>
    <xf numFmtId="0" fontId="15" fillId="0" borderId="38" xfId="0" applyFont="1" applyBorder="1" applyAlignment="1">
      <alignment horizontal="center"/>
    </xf>
    <xf numFmtId="0" fontId="15" fillId="0" borderId="60" xfId="0" applyFont="1" applyBorder="1" applyAlignment="1">
      <alignment horizontal="left"/>
    </xf>
    <xf numFmtId="0" fontId="15" fillId="0" borderId="14" xfId="0" applyFont="1" applyBorder="1" applyAlignment="1">
      <alignment horizontal="left"/>
    </xf>
    <xf numFmtId="0" fontId="15" fillId="0" borderId="37" xfId="0" applyFont="1" applyBorder="1" applyAlignment="1">
      <alignment horizontal="left"/>
    </xf>
    <xf numFmtId="0" fontId="15" fillId="0" borderId="38" xfId="0" applyFont="1" applyBorder="1" applyAlignment="1">
      <alignment horizontal="left"/>
    </xf>
    <xf numFmtId="43" fontId="15" fillId="0" borderId="37" xfId="0" applyNumberFormat="1" applyFont="1" applyBorder="1" applyAlignment="1">
      <alignment horizontal="right"/>
    </xf>
    <xf numFmtId="43" fontId="15" fillId="0" borderId="25" xfId="0" applyNumberFormat="1" applyFont="1" applyBorder="1" applyAlignment="1">
      <alignment horizontal="right"/>
    </xf>
    <xf numFmtId="43" fontId="14" fillId="3" borderId="41" xfId="1" applyNumberFormat="1" applyFont="1" applyFill="1" applyBorder="1"/>
    <xf numFmtId="43" fontId="14" fillId="3" borderId="4" xfId="0" applyNumberFormat="1" applyFont="1" applyFill="1" applyBorder="1"/>
    <xf numFmtId="43" fontId="6" fillId="0" borderId="0" xfId="0" applyNumberFormat="1" applyFont="1" applyBorder="1"/>
    <xf numFmtId="49" fontId="35" fillId="0" borderId="9" xfId="8" applyNumberFormat="1" applyFont="1" applyBorder="1" applyAlignment="1">
      <alignment horizontal="center" vertical="top"/>
    </xf>
    <xf numFmtId="43" fontId="14" fillId="0" borderId="4" xfId="7" applyNumberFormat="1" applyFont="1" applyBorder="1" applyAlignment="1"/>
    <xf numFmtId="43" fontId="23" fillId="0" borderId="0" xfId="7" applyNumberFormat="1" applyFont="1" applyBorder="1"/>
    <xf numFmtId="0" fontId="54" fillId="0" borderId="0" xfId="0" applyFont="1" applyBorder="1" applyAlignment="1">
      <alignment horizontal="center"/>
    </xf>
    <xf numFmtId="0" fontId="54" fillId="0" borderId="32" xfId="0" applyFont="1" applyBorder="1" applyAlignment="1">
      <alignment horizontal="center"/>
    </xf>
    <xf numFmtId="0" fontId="54" fillId="0" borderId="17" xfId="0" applyFont="1" applyBorder="1" applyAlignment="1">
      <alignment horizontal="center"/>
    </xf>
    <xf numFmtId="0" fontId="54" fillId="0" borderId="33" xfId="0" applyFont="1" applyBorder="1" applyAlignment="1">
      <alignment horizontal="center"/>
    </xf>
    <xf numFmtId="0" fontId="14" fillId="0" borderId="0" xfId="0" applyFont="1" applyBorder="1" applyAlignment="1">
      <alignment horizontal="center"/>
    </xf>
    <xf numFmtId="43" fontId="14" fillId="0" borderId="0" xfId="1" applyFont="1" applyBorder="1" applyAlignment="1">
      <alignment horizontal="center"/>
    </xf>
    <xf numFmtId="0" fontId="15" fillId="0" borderId="0" xfId="0" applyFont="1" applyAlignment="1">
      <alignment horizontal="center"/>
    </xf>
    <xf numFmtId="0" fontId="54" fillId="0" borderId="6" xfId="0" applyFont="1" applyBorder="1" applyAlignment="1">
      <alignment horizontal="center"/>
    </xf>
    <xf numFmtId="0" fontId="15" fillId="0" borderId="0" xfId="0" applyFont="1" applyBorder="1" applyAlignment="1">
      <alignment horizontal="center"/>
    </xf>
    <xf numFmtId="43" fontId="15" fillId="0" borderId="0" xfId="1" applyFont="1" applyBorder="1" applyAlignment="1">
      <alignment horizontal="center"/>
    </xf>
    <xf numFmtId="0" fontId="54" fillId="0" borderId="5" xfId="0" applyFont="1" applyBorder="1" applyAlignment="1">
      <alignment horizontal="center"/>
    </xf>
    <xf numFmtId="43" fontId="14" fillId="3" borderId="15" xfId="0" applyNumberFormat="1" applyFont="1" applyFill="1" applyBorder="1"/>
    <xf numFmtId="0" fontId="14" fillId="3" borderId="0" xfId="0" applyFont="1" applyFill="1"/>
    <xf numFmtId="0" fontId="4" fillId="3" borderId="19" xfId="0" applyFont="1" applyFill="1" applyBorder="1"/>
    <xf numFmtId="4" fontId="14" fillId="3" borderId="4" xfId="0" applyNumberFormat="1" applyFont="1" applyFill="1" applyBorder="1" applyAlignment="1">
      <alignment horizontal="center"/>
    </xf>
    <xf numFmtId="43" fontId="14" fillId="3" borderId="4" xfId="0" applyNumberFormat="1" applyFont="1" applyFill="1" applyBorder="1" applyAlignment="1"/>
    <xf numFmtId="43" fontId="14" fillId="3" borderId="4" xfId="1" applyNumberFormat="1" applyFont="1" applyFill="1" applyBorder="1" applyAlignment="1"/>
    <xf numFmtId="40" fontId="14" fillId="3" borderId="4" xfId="1" applyNumberFormat="1" applyFont="1" applyFill="1" applyBorder="1" applyAlignment="1"/>
    <xf numFmtId="0" fontId="12" fillId="0" borderId="2" xfId="8" applyFont="1" applyBorder="1" applyAlignment="1">
      <alignment horizontal="left" vertical="top" wrapText="1"/>
    </xf>
    <xf numFmtId="0" fontId="12" fillId="0" borderId="2" xfId="8" applyFont="1" applyFill="1" applyBorder="1" applyAlignment="1">
      <alignment horizontal="left" vertical="top" wrapText="1"/>
    </xf>
    <xf numFmtId="0" fontId="12" fillId="0" borderId="2" xfId="8" applyFont="1" applyBorder="1" applyAlignment="1">
      <alignment horizontal="left" vertical="center" wrapText="1"/>
    </xf>
    <xf numFmtId="0" fontId="12" fillId="0" borderId="2" xfId="8" applyFont="1" applyBorder="1" applyAlignment="1">
      <alignment vertical="top" wrapText="1"/>
    </xf>
    <xf numFmtId="0" fontId="12" fillId="0" borderId="3" xfId="8" applyFont="1" applyBorder="1" applyAlignment="1">
      <alignment vertical="top" wrapText="1"/>
    </xf>
    <xf numFmtId="0" fontId="43" fillId="0" borderId="0" xfId="8" quotePrefix="1" applyFont="1" applyAlignment="1">
      <alignment vertical="distributed" textRotation="180"/>
    </xf>
    <xf numFmtId="0" fontId="43" fillId="0" borderId="0" xfId="8" applyFont="1" applyAlignment="1">
      <alignment vertical="distributed" textRotation="180"/>
    </xf>
    <xf numFmtId="0" fontId="12" fillId="0" borderId="3" xfId="8" applyFont="1" applyBorder="1" applyAlignment="1">
      <alignment vertical="center" wrapText="1"/>
    </xf>
    <xf numFmtId="0" fontId="12" fillId="0" borderId="4" xfId="8" applyFont="1" applyBorder="1" applyAlignment="1">
      <alignment vertical="center"/>
    </xf>
    <xf numFmtId="0" fontId="28" fillId="0" borderId="0" xfId="6" applyFont="1" applyAlignment="1">
      <alignment horizontal="center"/>
    </xf>
    <xf numFmtId="0" fontId="26" fillId="0" borderId="32" xfId="6" applyFont="1" applyBorder="1" applyAlignment="1">
      <alignment horizontal="center"/>
    </xf>
    <xf numFmtId="0" fontId="23" fillId="0" borderId="0" xfId="6" applyFont="1" applyAlignment="1">
      <alignment horizontal="center"/>
    </xf>
    <xf numFmtId="0" fontId="24" fillId="0" borderId="0" xfId="6" applyFont="1" applyAlignment="1">
      <alignment horizontal="center"/>
    </xf>
    <xf numFmtId="0" fontId="26" fillId="0" borderId="5" xfId="6" applyFont="1" applyBorder="1" applyAlignment="1">
      <alignment horizontal="center"/>
    </xf>
    <xf numFmtId="0" fontId="26" fillId="0" borderId="0" xfId="6" applyFont="1" applyBorder="1" applyAlignment="1">
      <alignment horizontal="center"/>
    </xf>
    <xf numFmtId="0" fontId="26" fillId="0" borderId="6" xfId="6" applyFont="1" applyBorder="1" applyAlignment="1">
      <alignment horizontal="center"/>
    </xf>
    <xf numFmtId="0" fontId="26" fillId="0" borderId="0" xfId="6" applyFont="1" applyAlignment="1">
      <alignment horizontal="center"/>
    </xf>
    <xf numFmtId="0" fontId="24" fillId="0" borderId="0" xfId="6" applyFont="1" applyBorder="1" applyAlignment="1">
      <alignment horizontal="center"/>
    </xf>
    <xf numFmtId="0" fontId="4" fillId="3" borderId="9" xfId="0" applyFont="1" applyFill="1" applyBorder="1"/>
    <xf numFmtId="0" fontId="4" fillId="3" borderId="28" xfId="0" applyFont="1" applyFill="1" applyBorder="1"/>
    <xf numFmtId="0" fontId="4" fillId="3" borderId="1" xfId="0" quotePrefix="1" applyFont="1" applyFill="1" applyBorder="1" applyAlignment="1">
      <alignment horizontal="center"/>
    </xf>
    <xf numFmtId="0" fontId="14" fillId="3" borderId="1" xfId="0" applyFont="1" applyFill="1" applyBorder="1" applyAlignment="1">
      <alignment horizontal="center"/>
    </xf>
    <xf numFmtId="4" fontId="14" fillId="3" borderId="1" xfId="0" applyNumberFormat="1" applyFont="1" applyFill="1" applyBorder="1" applyAlignment="1">
      <alignment horizontal="center"/>
    </xf>
    <xf numFmtId="43" fontId="14" fillId="3" borderId="1" xfId="0" applyNumberFormat="1" applyFont="1" applyFill="1" applyBorder="1" applyAlignment="1"/>
    <xf numFmtId="43" fontId="14" fillId="3" borderId="1" xfId="1" applyNumberFormat="1" applyFont="1" applyFill="1" applyBorder="1" applyAlignment="1"/>
    <xf numFmtId="0" fontId="15" fillId="0" borderId="0" xfId="6" applyFont="1" applyAlignment="1">
      <alignment horizontal="center"/>
    </xf>
    <xf numFmtId="0" fontId="14" fillId="0" borderId="0" xfId="6" applyFont="1" applyAlignment="1">
      <alignment horizontal="center"/>
    </xf>
    <xf numFmtId="49" fontId="15" fillId="4" borderId="29" xfId="6" applyNumberFormat="1" applyFont="1" applyFill="1" applyBorder="1" applyAlignment="1">
      <alignment horizontal="center" wrapText="1"/>
    </xf>
    <xf numFmtId="0" fontId="14" fillId="5" borderId="0" xfId="6" applyFont="1" applyFill="1"/>
    <xf numFmtId="49" fontId="35" fillId="0" borderId="5" xfId="8" applyNumberFormat="1" applyFont="1" applyBorder="1" applyAlignment="1">
      <alignment horizontal="center" vertical="top"/>
    </xf>
    <xf numFmtId="0" fontId="36" fillId="3" borderId="0" xfId="8" applyFont="1" applyFill="1" applyBorder="1" applyAlignment="1">
      <alignment horizontal="center" vertical="center"/>
    </xf>
    <xf numFmtId="0" fontId="36" fillId="3" borderId="6" xfId="8" applyFont="1" applyFill="1" applyBorder="1" applyAlignment="1">
      <alignment horizontal="center" vertical="center"/>
    </xf>
    <xf numFmtId="0" fontId="15" fillId="0" borderId="0" xfId="13" applyFont="1" applyBorder="1"/>
    <xf numFmtId="0" fontId="14" fillId="0" borderId="0" xfId="13" applyFont="1" applyBorder="1"/>
    <xf numFmtId="0" fontId="15" fillId="0" borderId="0" xfId="13" applyFont="1" applyBorder="1" applyAlignment="1">
      <alignment horizontal="right"/>
    </xf>
    <xf numFmtId="0" fontId="59" fillId="0" borderId="0" xfId="13" applyFont="1"/>
    <xf numFmtId="0" fontId="15" fillId="0" borderId="0" xfId="13" applyFont="1" applyAlignment="1">
      <alignment horizontal="center"/>
    </xf>
    <xf numFmtId="0" fontId="64" fillId="0" borderId="0" xfId="13" applyFont="1" applyBorder="1" applyAlignment="1">
      <alignment horizontal="left"/>
    </xf>
    <xf numFmtId="0" fontId="15" fillId="0" borderId="0" xfId="13" applyFont="1" applyAlignment="1">
      <alignment horizontal="left"/>
    </xf>
    <xf numFmtId="0" fontId="3" fillId="0" borderId="0" xfId="13" applyFont="1"/>
    <xf numFmtId="0" fontId="4" fillId="0" borderId="20" xfId="13" applyFont="1" applyBorder="1"/>
    <xf numFmtId="0" fontId="4" fillId="0" borderId="17" xfId="13" applyFont="1" applyBorder="1"/>
    <xf numFmtId="0" fontId="4" fillId="0" borderId="33" xfId="13" applyFont="1" applyBorder="1"/>
    <xf numFmtId="0" fontId="4" fillId="0" borderId="33" xfId="13" applyFont="1" applyBorder="1" applyAlignment="1">
      <alignment horizontal="center"/>
    </xf>
    <xf numFmtId="0" fontId="54" fillId="0" borderId="34" xfId="13" applyFont="1" applyBorder="1" applyAlignment="1">
      <alignment horizontal="center"/>
    </xf>
    <xf numFmtId="0" fontId="54" fillId="0" borderId="35" xfId="13" applyFont="1" applyBorder="1" applyAlignment="1">
      <alignment horizontal="center"/>
    </xf>
    <xf numFmtId="0" fontId="54" fillId="0" borderId="6" xfId="13" applyFont="1" applyBorder="1" applyAlignment="1">
      <alignment horizontal="center"/>
    </xf>
    <xf numFmtId="0" fontId="54" fillId="0" borderId="2" xfId="13" applyFont="1" applyBorder="1" applyAlignment="1">
      <alignment horizontal="center"/>
    </xf>
    <xf numFmtId="0" fontId="54" fillId="0" borderId="36" xfId="13" applyFont="1" applyBorder="1" applyAlignment="1">
      <alignment horizontal="center"/>
    </xf>
    <xf numFmtId="0" fontId="4" fillId="0" borderId="6" xfId="13" applyFont="1" applyBorder="1" applyAlignment="1">
      <alignment horizontal="center"/>
    </xf>
    <xf numFmtId="0" fontId="5" fillId="0" borderId="2" xfId="13" applyFont="1" applyBorder="1" applyAlignment="1">
      <alignment horizontal="center"/>
    </xf>
    <xf numFmtId="0" fontId="4" fillId="0" borderId="22" xfId="13" applyFont="1" applyBorder="1"/>
    <xf numFmtId="0" fontId="4" fillId="0" borderId="0" xfId="13" applyFont="1" applyBorder="1"/>
    <xf numFmtId="0" fontId="4" fillId="0" borderId="6" xfId="13" applyFont="1" applyBorder="1"/>
    <xf numFmtId="0" fontId="4" fillId="0" borderId="37" xfId="13" applyFont="1" applyBorder="1" applyAlignment="1">
      <alignment horizontal="center"/>
    </xf>
    <xf numFmtId="0" fontId="4" fillId="0" borderId="38" xfId="13" applyFont="1" applyBorder="1" applyAlignment="1">
      <alignment horizontal="center"/>
    </xf>
    <xf numFmtId="0" fontId="4" fillId="0" borderId="39" xfId="13" applyFont="1" applyBorder="1" applyAlignment="1">
      <alignment horizontal="center"/>
    </xf>
    <xf numFmtId="0" fontId="4" fillId="0" borderId="47" xfId="13" applyFont="1" applyBorder="1"/>
    <xf numFmtId="0" fontId="4" fillId="0" borderId="48" xfId="13" applyFont="1" applyBorder="1"/>
    <xf numFmtId="0" fontId="54" fillId="0" borderId="48" xfId="13" applyFont="1" applyBorder="1"/>
    <xf numFmtId="0" fontId="4" fillId="0" borderId="49" xfId="13" applyFont="1" applyBorder="1"/>
    <xf numFmtId="0" fontId="4" fillId="0" borderId="49" xfId="13" applyFont="1" applyBorder="1" applyAlignment="1">
      <alignment horizontal="center"/>
    </xf>
    <xf numFmtId="49" fontId="59" fillId="0" borderId="55" xfId="13" applyNumberFormat="1" applyFont="1" applyBorder="1" applyAlignment="1">
      <alignment horizontal="center"/>
    </xf>
    <xf numFmtId="43" fontId="59" fillId="0" borderId="55" xfId="13" applyNumberFormat="1" applyFont="1" applyBorder="1" applyAlignment="1">
      <alignment horizontal="center"/>
    </xf>
    <xf numFmtId="43" fontId="59" fillId="0" borderId="55" xfId="7" applyNumberFormat="1" applyFont="1" applyBorder="1"/>
    <xf numFmtId="0" fontId="4" fillId="0" borderId="19" xfId="13" applyFont="1" applyBorder="1"/>
    <xf numFmtId="0" fontId="4" fillId="0" borderId="15" xfId="13" applyFont="1" applyBorder="1"/>
    <xf numFmtId="0" fontId="4" fillId="0" borderId="41" xfId="13" applyFont="1" applyBorder="1"/>
    <xf numFmtId="0" fontId="4" fillId="0" borderId="41" xfId="13" quotePrefix="1" applyFont="1" applyBorder="1" applyAlignment="1">
      <alignment horizontal="center"/>
    </xf>
    <xf numFmtId="49" fontId="16" fillId="0" borderId="4" xfId="13" applyNumberFormat="1" applyFont="1" applyBorder="1" applyAlignment="1">
      <alignment horizontal="center"/>
    </xf>
    <xf numFmtId="43" fontId="59" fillId="0" borderId="4" xfId="13" applyNumberFormat="1" applyFont="1" applyBorder="1" applyAlignment="1">
      <alignment horizontal="center"/>
    </xf>
    <xf numFmtId="43" fontId="59" fillId="0" borderId="4" xfId="7" applyNumberFormat="1" applyFont="1" applyBorder="1"/>
    <xf numFmtId="0" fontId="14" fillId="0" borderId="4" xfId="13" applyFont="1" applyBorder="1" applyAlignment="1">
      <alignment horizontal="center"/>
    </xf>
    <xf numFmtId="43" fontId="14" fillId="0" borderId="4" xfId="13" applyNumberFormat="1" applyFont="1" applyBorder="1" applyAlignment="1">
      <alignment horizontal="right"/>
    </xf>
    <xf numFmtId="43" fontId="14" fillId="0" borderId="4" xfId="7" applyNumberFormat="1" applyFont="1" applyBorder="1" applyAlignment="1">
      <alignment horizontal="right"/>
    </xf>
    <xf numFmtId="49" fontId="59" fillId="0" borderId="4" xfId="13" applyNumberFormat="1" applyFont="1" applyBorder="1" applyAlignment="1">
      <alignment horizontal="center"/>
    </xf>
    <xf numFmtId="0" fontId="4" fillId="0" borderId="4" xfId="13" quotePrefix="1" applyFont="1" applyBorder="1" applyAlignment="1">
      <alignment horizontal="center"/>
    </xf>
    <xf numFmtId="0" fontId="54" fillId="0" borderId="19" xfId="13" applyFont="1" applyBorder="1"/>
    <xf numFmtId="0" fontId="54" fillId="0" borderId="15" xfId="13" applyFont="1" applyBorder="1"/>
    <xf numFmtId="0" fontId="54" fillId="0" borderId="41" xfId="13" applyFont="1" applyBorder="1"/>
    <xf numFmtId="0" fontId="54" fillId="0" borderId="41" xfId="13" quotePrefix="1" applyFont="1" applyBorder="1" applyAlignment="1">
      <alignment horizontal="center"/>
    </xf>
    <xf numFmtId="43" fontId="15" fillId="0" borderId="4" xfId="13" applyNumberFormat="1" applyFont="1" applyBorder="1" applyAlignment="1">
      <alignment horizontal="right"/>
    </xf>
    <xf numFmtId="0" fontId="6" fillId="0" borderId="0" xfId="13" applyFont="1"/>
    <xf numFmtId="0" fontId="3" fillId="0" borderId="0" xfId="13" quotePrefix="1" applyFont="1"/>
    <xf numFmtId="43" fontId="15" fillId="0" borderId="4" xfId="7" applyNumberFormat="1" applyFont="1" applyBorder="1" applyAlignment="1">
      <alignment horizontal="right"/>
    </xf>
    <xf numFmtId="0" fontId="54" fillId="0" borderId="7" xfId="13" applyFont="1" applyBorder="1"/>
    <xf numFmtId="0" fontId="54" fillId="0" borderId="12" xfId="13" applyFont="1" applyBorder="1"/>
    <xf numFmtId="0" fontId="54" fillId="0" borderId="26" xfId="13" applyFont="1" applyBorder="1"/>
    <xf numFmtId="0" fontId="54" fillId="0" borderId="26" xfId="13" applyFont="1" applyBorder="1" applyAlignment="1">
      <alignment horizontal="center"/>
    </xf>
    <xf numFmtId="49" fontId="16" fillId="0" borderId="3" xfId="13" applyNumberFormat="1" applyFont="1" applyBorder="1" applyAlignment="1">
      <alignment horizontal="center"/>
    </xf>
    <xf numFmtId="43" fontId="15" fillId="0" borderId="3" xfId="13" applyNumberFormat="1" applyFont="1" applyBorder="1" applyAlignment="1">
      <alignment horizontal="right"/>
    </xf>
    <xf numFmtId="0" fontId="54" fillId="0" borderId="0" xfId="13" applyFont="1" applyBorder="1"/>
    <xf numFmtId="0" fontId="14" fillId="0" borderId="0" xfId="13" applyFont="1" applyBorder="1" applyAlignment="1">
      <alignment horizontal="center"/>
    </xf>
    <xf numFmtId="43" fontId="14" fillId="0" borderId="0" xfId="7" applyFont="1" applyBorder="1"/>
    <xf numFmtId="43" fontId="14" fillId="0" borderId="0" xfId="13" applyNumberFormat="1" applyFont="1" applyBorder="1" applyAlignment="1">
      <alignment horizontal="right"/>
    </xf>
    <xf numFmtId="43" fontId="14" fillId="0" borderId="0" xfId="13" applyNumberFormat="1" applyFont="1" applyBorder="1" applyAlignment="1">
      <alignment horizontal="center"/>
    </xf>
    <xf numFmtId="0" fontId="15" fillId="0" borderId="0" xfId="13" applyFont="1" applyBorder="1" applyAlignment="1">
      <alignment horizontal="left"/>
    </xf>
    <xf numFmtId="43" fontId="15" fillId="0" borderId="0" xfId="7" applyFont="1" applyBorder="1"/>
    <xf numFmtId="43" fontId="15" fillId="0" borderId="0" xfId="7" applyFont="1" applyBorder="1" applyAlignment="1">
      <alignment horizontal="center"/>
    </xf>
    <xf numFmtId="0" fontId="16" fillId="0" borderId="0" xfId="13" applyFont="1"/>
    <xf numFmtId="0" fontId="15" fillId="0" borderId="0" xfId="13" applyFont="1" applyBorder="1" applyAlignment="1">
      <alignment horizontal="center"/>
    </xf>
    <xf numFmtId="43" fontId="15" fillId="0" borderId="0" xfId="7" applyFont="1" applyBorder="1" applyAlignment="1"/>
    <xf numFmtId="43" fontId="15" fillId="0" borderId="0" xfId="7" applyFont="1" applyBorder="1" applyAlignment="1">
      <alignment vertical="top"/>
    </xf>
    <xf numFmtId="0" fontId="14" fillId="0" borderId="0" xfId="13" applyFont="1" applyBorder="1" applyAlignment="1">
      <alignment horizontal="left"/>
    </xf>
    <xf numFmtId="0" fontId="14" fillId="0" borderId="0" xfId="13" applyFont="1" applyBorder="1" applyAlignment="1"/>
    <xf numFmtId="43" fontId="14" fillId="0" borderId="0" xfId="7" applyFont="1" applyBorder="1" applyAlignment="1"/>
    <xf numFmtId="43" fontId="14" fillId="0" borderId="0" xfId="7" applyFont="1" applyBorder="1" applyAlignment="1">
      <alignment horizontal="center"/>
    </xf>
    <xf numFmtId="49" fontId="14" fillId="0" borderId="55" xfId="13" applyNumberFormat="1" applyFont="1" applyBorder="1" applyAlignment="1">
      <alignment horizontal="center"/>
    </xf>
    <xf numFmtId="0" fontId="14" fillId="0" borderId="55" xfId="13" applyFont="1" applyBorder="1" applyAlignment="1">
      <alignment horizontal="center"/>
    </xf>
    <xf numFmtId="43" fontId="14" fillId="0" borderId="55" xfId="7" applyFont="1" applyBorder="1"/>
    <xf numFmtId="49" fontId="14" fillId="0" borderId="4" xfId="13" applyNumberFormat="1" applyFont="1" applyBorder="1" applyAlignment="1">
      <alignment horizontal="center"/>
    </xf>
    <xf numFmtId="4" fontId="14" fillId="0" borderId="4" xfId="13" applyNumberFormat="1" applyFont="1" applyBorder="1" applyAlignment="1">
      <alignment horizontal="center"/>
    </xf>
    <xf numFmtId="4" fontId="14" fillId="0" borderId="4" xfId="7" applyNumberFormat="1" applyFont="1" applyBorder="1"/>
    <xf numFmtId="49" fontId="15" fillId="0" borderId="4" xfId="13" applyNumberFormat="1" applyFont="1" applyBorder="1" applyAlignment="1">
      <alignment horizontal="center"/>
    </xf>
    <xf numFmtId="49" fontId="15" fillId="0" borderId="3" xfId="13" applyNumberFormat="1" applyFont="1" applyBorder="1" applyAlignment="1">
      <alignment horizontal="center"/>
    </xf>
    <xf numFmtId="4" fontId="14" fillId="0" borderId="0" xfId="13" applyNumberFormat="1" applyFont="1" applyBorder="1" applyAlignment="1">
      <alignment horizontal="center"/>
    </xf>
    <xf numFmtId="43" fontId="14" fillId="0" borderId="55" xfId="13" applyNumberFormat="1" applyFont="1" applyBorder="1" applyAlignment="1">
      <alignment horizontal="center"/>
    </xf>
    <xf numFmtId="43" fontId="14" fillId="0" borderId="55" xfId="7" applyNumberFormat="1" applyFont="1" applyBorder="1"/>
    <xf numFmtId="43" fontId="14" fillId="0" borderId="4" xfId="13" applyNumberFormat="1" applyFont="1" applyBorder="1" applyAlignment="1">
      <alignment horizontal="center"/>
    </xf>
    <xf numFmtId="43" fontId="14" fillId="0" borderId="4" xfId="7" applyNumberFormat="1" applyFont="1" applyBorder="1"/>
    <xf numFmtId="0" fontId="44" fillId="0" borderId="0" xfId="13" applyFont="1"/>
    <xf numFmtId="43" fontId="18" fillId="0" borderId="0" xfId="13" quotePrefix="1" applyNumberFormat="1" applyFont="1" applyBorder="1" applyAlignment="1">
      <alignment horizontal="right"/>
    </xf>
    <xf numFmtId="43" fontId="3" fillId="0" borderId="0" xfId="13" applyNumberFormat="1" applyFont="1"/>
    <xf numFmtId="0" fontId="54" fillId="2" borderId="19" xfId="13" applyFont="1" applyFill="1" applyBorder="1"/>
    <xf numFmtId="0" fontId="4" fillId="2" borderId="15" xfId="13" applyFont="1" applyFill="1" applyBorder="1"/>
    <xf numFmtId="0" fontId="54" fillId="2" borderId="15" xfId="13" applyFont="1" applyFill="1" applyBorder="1"/>
    <xf numFmtId="0" fontId="54" fillId="2" borderId="41" xfId="13" applyFont="1" applyFill="1" applyBorder="1"/>
    <xf numFmtId="0" fontId="54" fillId="2" borderId="41" xfId="13" quotePrefix="1" applyFont="1" applyFill="1" applyBorder="1" applyAlignment="1">
      <alignment horizontal="center"/>
    </xf>
    <xf numFmtId="49" fontId="14" fillId="2" borderId="4" xfId="13" applyNumberFormat="1" applyFont="1" applyFill="1" applyBorder="1" applyAlignment="1">
      <alignment horizontal="center"/>
    </xf>
    <xf numFmtId="43" fontId="14" fillId="2" borderId="4" xfId="13" applyNumberFormat="1" applyFont="1" applyFill="1" applyBorder="1" applyAlignment="1">
      <alignment horizontal="right"/>
    </xf>
    <xf numFmtId="43" fontId="14" fillId="2" borderId="4" xfId="7" applyNumberFormat="1" applyFont="1" applyFill="1" applyBorder="1" applyAlignment="1">
      <alignment horizontal="right"/>
    </xf>
    <xf numFmtId="0" fontId="3" fillId="2" borderId="0" xfId="13" applyFont="1" applyFill="1"/>
    <xf numFmtId="0" fontId="54" fillId="2" borderId="7" xfId="13" applyFont="1" applyFill="1" applyBorder="1"/>
    <xf numFmtId="0" fontId="54" fillId="2" borderId="12" xfId="13" applyFont="1" applyFill="1" applyBorder="1"/>
    <xf numFmtId="0" fontId="54" fillId="2" borderId="26" xfId="13" applyFont="1" applyFill="1" applyBorder="1"/>
    <xf numFmtId="0" fontId="54" fillId="2" borderId="26" xfId="13" quotePrefix="1" applyFont="1" applyFill="1" applyBorder="1" applyAlignment="1">
      <alignment horizontal="center"/>
    </xf>
    <xf numFmtId="49" fontId="15" fillId="2" borderId="3" xfId="13" applyNumberFormat="1" applyFont="1" applyFill="1" applyBorder="1" applyAlignment="1">
      <alignment horizontal="center"/>
    </xf>
    <xf numFmtId="43" fontId="15" fillId="2" borderId="3" xfId="13" applyNumberFormat="1" applyFont="1" applyFill="1" applyBorder="1" applyAlignment="1">
      <alignment horizontal="right"/>
    </xf>
    <xf numFmtId="43" fontId="15" fillId="2" borderId="3" xfId="7" applyNumberFormat="1" applyFont="1" applyFill="1" applyBorder="1" applyAlignment="1">
      <alignment horizontal="right"/>
    </xf>
    <xf numFmtId="43" fontId="15" fillId="2" borderId="4" xfId="7" applyNumberFormat="1" applyFont="1" applyFill="1" applyBorder="1" applyAlignment="1">
      <alignment horizontal="right"/>
    </xf>
    <xf numFmtId="0" fontId="6" fillId="2" borderId="0" xfId="13" applyFont="1" applyFill="1"/>
    <xf numFmtId="0" fontId="7" fillId="0" borderId="0" xfId="13" applyFont="1"/>
    <xf numFmtId="43" fontId="7" fillId="0" borderId="0" xfId="13" applyNumberFormat="1" applyFont="1"/>
    <xf numFmtId="0" fontId="36" fillId="3" borderId="5" xfId="8" applyFont="1" applyFill="1" applyBorder="1" applyAlignment="1">
      <alignment horizontal="center" vertical="center"/>
    </xf>
    <xf numFmtId="43" fontId="43" fillId="0" borderId="0" xfId="0" quotePrefix="1" applyNumberFormat="1" applyFont="1" applyBorder="1" applyAlignment="1">
      <alignment horizontal="center"/>
    </xf>
    <xf numFmtId="0" fontId="54" fillId="0" borderId="7" xfId="0" applyFont="1" applyBorder="1" applyAlignment="1">
      <alignment horizontal="center"/>
    </xf>
    <xf numFmtId="0" fontId="54" fillId="0" borderId="12" xfId="0" applyFont="1" applyBorder="1" applyAlignment="1">
      <alignment horizontal="center"/>
    </xf>
    <xf numFmtId="0" fontId="54" fillId="0" borderId="26" xfId="0" applyFont="1" applyBorder="1" applyAlignment="1">
      <alignment horizontal="center"/>
    </xf>
    <xf numFmtId="0" fontId="61" fillId="0" borderId="0" xfId="0" applyFont="1" applyBorder="1" applyAlignment="1">
      <alignment horizontal="center" vertical="center"/>
    </xf>
    <xf numFmtId="0" fontId="6" fillId="0" borderId="0" xfId="0" applyFont="1" applyAlignment="1">
      <alignment horizontal="center"/>
    </xf>
    <xf numFmtId="0" fontId="54" fillId="0" borderId="32" xfId="0" applyFont="1" applyBorder="1" applyAlignment="1">
      <alignment horizontal="center"/>
    </xf>
    <xf numFmtId="0" fontId="54" fillId="0" borderId="17" xfId="0" applyFont="1" applyBorder="1" applyAlignment="1">
      <alignment horizontal="center"/>
    </xf>
    <xf numFmtId="0" fontId="54" fillId="0" borderId="33" xfId="0" applyFont="1" applyBorder="1" applyAlignment="1">
      <alignment horizontal="center"/>
    </xf>
    <xf numFmtId="0" fontId="54" fillId="0" borderId="22" xfId="0" applyFont="1" applyBorder="1" applyAlignment="1">
      <alignment horizontal="center"/>
    </xf>
    <xf numFmtId="0" fontId="54" fillId="0" borderId="0" xfId="0" applyFont="1" applyBorder="1" applyAlignment="1">
      <alignment horizontal="center"/>
    </xf>
    <xf numFmtId="0" fontId="4" fillId="0" borderId="24" xfId="0" applyFont="1" applyBorder="1" applyAlignment="1">
      <alignment horizontal="center"/>
    </xf>
    <xf numFmtId="0" fontId="4" fillId="0" borderId="14" xfId="0" applyFont="1" applyBorder="1" applyAlignment="1">
      <alignment horizontal="center"/>
    </xf>
    <xf numFmtId="43" fontId="16" fillId="0" borderId="0" xfId="1" applyFont="1" applyBorder="1" applyAlignment="1">
      <alignment horizontal="center"/>
    </xf>
    <xf numFmtId="43" fontId="59" fillId="0" borderId="0" xfId="1" applyFont="1" applyBorder="1" applyAlignment="1">
      <alignment horizontal="center"/>
    </xf>
    <xf numFmtId="0" fontId="16" fillId="0" borderId="0" xfId="0" applyFont="1" applyBorder="1" applyAlignment="1">
      <alignment horizontal="center"/>
    </xf>
    <xf numFmtId="0" fontId="59" fillId="0" borderId="0" xfId="0" applyFont="1" applyBorder="1" applyAlignment="1">
      <alignment horizontal="center"/>
    </xf>
    <xf numFmtId="0" fontId="3" fillId="0" borderId="0" xfId="0" applyFont="1" applyBorder="1" applyAlignment="1">
      <alignment horizontal="center"/>
    </xf>
    <xf numFmtId="0" fontId="6" fillId="0" borderId="0" xfId="0" applyFont="1" applyBorder="1" applyAlignment="1">
      <alignment horizontal="center"/>
    </xf>
    <xf numFmtId="43" fontId="3" fillId="0" borderId="0" xfId="1" applyFont="1" applyBorder="1" applyAlignment="1">
      <alignment horizontal="center"/>
    </xf>
    <xf numFmtId="0" fontId="57" fillId="0" borderId="0" xfId="0" applyFont="1" applyBorder="1" applyAlignment="1">
      <alignment horizontal="center"/>
    </xf>
    <xf numFmtId="43" fontId="6" fillId="0" borderId="0" xfId="1" applyFont="1" applyBorder="1" applyAlignment="1">
      <alignment horizontal="center"/>
    </xf>
    <xf numFmtId="0" fontId="15" fillId="0" borderId="0" xfId="13" applyFont="1" applyAlignment="1">
      <alignment horizontal="center"/>
    </xf>
    <xf numFmtId="0" fontId="54" fillId="0" borderId="0" xfId="13" applyFont="1" applyAlignment="1">
      <alignment horizontal="center"/>
    </xf>
    <xf numFmtId="0" fontId="54" fillId="0" borderId="47" xfId="13" applyFont="1" applyBorder="1" applyAlignment="1">
      <alignment horizontal="center"/>
    </xf>
    <xf numFmtId="0" fontId="54" fillId="0" borderId="48" xfId="13" applyFont="1" applyBorder="1" applyAlignment="1">
      <alignment horizontal="center"/>
    </xf>
    <xf numFmtId="0" fontId="54" fillId="0" borderId="49" xfId="13" applyFont="1" applyBorder="1" applyAlignment="1">
      <alignment horizontal="center"/>
    </xf>
    <xf numFmtId="0" fontId="54" fillId="0" borderId="22" xfId="13" applyFont="1" applyBorder="1" applyAlignment="1">
      <alignment horizontal="center"/>
    </xf>
    <xf numFmtId="0" fontId="54" fillId="0" borderId="0" xfId="13" applyFont="1" applyBorder="1" applyAlignment="1">
      <alignment horizontal="center"/>
    </xf>
    <xf numFmtId="0" fontId="54" fillId="0" borderId="6" xfId="13" applyFont="1" applyBorder="1" applyAlignment="1">
      <alignment horizontal="center"/>
    </xf>
    <xf numFmtId="43" fontId="43" fillId="0" borderId="0" xfId="13" quotePrefix="1" applyNumberFormat="1" applyFont="1" applyBorder="1" applyAlignment="1">
      <alignment horizontal="center"/>
    </xf>
    <xf numFmtId="0" fontId="4" fillId="0" borderId="24" xfId="13" applyFont="1" applyBorder="1" applyAlignment="1">
      <alignment horizontal="center"/>
    </xf>
    <xf numFmtId="0" fontId="4" fillId="0" borderId="14" xfId="13" applyFont="1" applyBorder="1" applyAlignment="1">
      <alignment horizontal="center"/>
    </xf>
    <xf numFmtId="0" fontId="4" fillId="0" borderId="37" xfId="13" applyFont="1" applyBorder="1" applyAlignment="1">
      <alignment horizontal="center"/>
    </xf>
    <xf numFmtId="43" fontId="15" fillId="0" borderId="0" xfId="7" applyFont="1" applyBorder="1" applyAlignment="1">
      <alignment horizontal="center"/>
    </xf>
    <xf numFmtId="43" fontId="15" fillId="0" borderId="0" xfId="7" applyFont="1" applyBorder="1" applyAlignment="1">
      <alignment horizontal="center" vertical="top"/>
    </xf>
    <xf numFmtId="0" fontId="14" fillId="0" borderId="0" xfId="13" applyFont="1" applyBorder="1" applyAlignment="1">
      <alignment horizontal="center"/>
    </xf>
    <xf numFmtId="43" fontId="14" fillId="0" borderId="0" xfId="7" applyFont="1" applyBorder="1" applyAlignment="1">
      <alignment horizontal="center"/>
    </xf>
    <xf numFmtId="0" fontId="15" fillId="0" borderId="0" xfId="13" applyFont="1" applyBorder="1" applyAlignment="1">
      <alignment horizontal="center"/>
    </xf>
    <xf numFmtId="0" fontId="15" fillId="0" borderId="0" xfId="0" applyFont="1" applyAlignment="1">
      <alignment horizontal="center"/>
    </xf>
    <xf numFmtId="0" fontId="54" fillId="0" borderId="47" xfId="0" applyFont="1" applyBorder="1" applyAlignment="1">
      <alignment horizontal="center"/>
    </xf>
    <xf numFmtId="0" fontId="54" fillId="0" borderId="48" xfId="0" applyFont="1" applyBorder="1" applyAlignment="1">
      <alignment horizontal="center"/>
    </xf>
    <xf numFmtId="0" fontId="54" fillId="0" borderId="49" xfId="0" applyFont="1" applyBorder="1" applyAlignment="1">
      <alignment horizontal="center"/>
    </xf>
    <xf numFmtId="43" fontId="14" fillId="0" borderId="0" xfId="1" applyFont="1" applyBorder="1" applyAlignment="1">
      <alignment horizontal="center"/>
    </xf>
    <xf numFmtId="0" fontId="54" fillId="0" borderId="5" xfId="0" applyFont="1" applyBorder="1" applyAlignment="1">
      <alignment horizontal="center"/>
    </xf>
    <xf numFmtId="0" fontId="54" fillId="0" borderId="6" xfId="0" applyFont="1" applyBorder="1" applyAlignment="1">
      <alignment horizontal="center"/>
    </xf>
    <xf numFmtId="0" fontId="4" fillId="0" borderId="60" xfId="0" applyFont="1" applyBorder="1" applyAlignment="1">
      <alignment horizontal="center"/>
    </xf>
    <xf numFmtId="0" fontId="4" fillId="0" borderId="37" xfId="0" applyFont="1" applyBorder="1" applyAlignment="1">
      <alignment horizontal="center"/>
    </xf>
    <xf numFmtId="43" fontId="15" fillId="0" borderId="0" xfId="1" applyFont="1" applyBorder="1" applyAlignment="1">
      <alignment horizontal="center"/>
    </xf>
    <xf numFmtId="0" fontId="14" fillId="0" borderId="0" xfId="0" applyFont="1" applyBorder="1" applyAlignment="1">
      <alignment horizontal="center"/>
    </xf>
    <xf numFmtId="43" fontId="15" fillId="0" borderId="0" xfId="1" applyFont="1" applyBorder="1" applyAlignment="1">
      <alignment horizontal="center" vertical="top"/>
    </xf>
    <xf numFmtId="0" fontId="12" fillId="0" borderId="19" xfId="0" applyFont="1" applyBorder="1" applyAlignment="1">
      <alignment horizontal="left" wrapText="1"/>
    </xf>
    <xf numFmtId="0" fontId="12" fillId="0" borderId="15" xfId="0" applyFont="1" applyBorder="1" applyAlignment="1">
      <alignment horizontal="left" wrapText="1"/>
    </xf>
    <xf numFmtId="0" fontId="12" fillId="0" borderId="41" xfId="0" applyFont="1" applyBorder="1" applyAlignment="1">
      <alignment horizontal="left" wrapText="1"/>
    </xf>
    <xf numFmtId="0" fontId="36" fillId="0" borderId="0" xfId="6" applyFont="1" applyAlignment="1">
      <alignment horizontal="center"/>
    </xf>
    <xf numFmtId="0" fontId="38" fillId="0" borderId="0" xfId="6" applyFont="1" applyAlignment="1">
      <alignment horizontal="center"/>
    </xf>
    <xf numFmtId="0" fontId="28" fillId="0" borderId="0" xfId="6" applyFont="1" applyAlignment="1">
      <alignment horizontal="center"/>
    </xf>
    <xf numFmtId="0" fontId="26" fillId="0" borderId="20" xfId="6" applyFont="1" applyBorder="1" applyAlignment="1">
      <alignment horizontal="center"/>
    </xf>
    <xf numFmtId="0" fontId="26" fillId="0" borderId="17" xfId="6" applyFont="1" applyBorder="1" applyAlignment="1">
      <alignment horizontal="center"/>
    </xf>
    <xf numFmtId="0" fontId="26" fillId="0" borderId="32" xfId="6" applyFont="1" applyBorder="1" applyAlignment="1">
      <alignment horizontal="center"/>
    </xf>
    <xf numFmtId="0" fontId="26" fillId="0" borderId="33" xfId="6" applyFont="1" applyBorder="1" applyAlignment="1">
      <alignment horizontal="center"/>
    </xf>
    <xf numFmtId="0" fontId="26" fillId="0" borderId="47" xfId="6" applyFont="1" applyBorder="1" applyAlignment="1">
      <alignment horizontal="center"/>
    </xf>
    <xf numFmtId="0" fontId="26" fillId="0" borderId="49" xfId="6" applyFont="1" applyBorder="1" applyAlignment="1">
      <alignment horizontal="center"/>
    </xf>
    <xf numFmtId="0" fontId="28" fillId="0" borderId="60" xfId="6" applyFont="1" applyBorder="1" applyAlignment="1">
      <alignment horizontal="center"/>
    </xf>
    <xf numFmtId="0" fontId="28" fillId="0" borderId="14" xfId="6" applyFont="1" applyBorder="1" applyAlignment="1">
      <alignment horizontal="center"/>
    </xf>
    <xf numFmtId="0" fontId="28" fillId="0" borderId="37" xfId="6" applyFont="1" applyBorder="1" applyAlignment="1">
      <alignment horizontal="center"/>
    </xf>
    <xf numFmtId="0" fontId="23" fillId="0" borderId="0" xfId="6" applyFont="1" applyAlignment="1">
      <alignment horizontal="center"/>
    </xf>
    <xf numFmtId="0" fontId="24" fillId="0" borderId="0" xfId="6" applyFont="1" applyAlignment="1">
      <alignment horizontal="center"/>
    </xf>
    <xf numFmtId="0" fontId="26" fillId="0" borderId="9" xfId="6" applyFont="1" applyBorder="1" applyAlignment="1">
      <alignment horizontal="center"/>
    </xf>
    <xf numFmtId="0" fontId="26" fillId="0" borderId="28" xfId="6" applyFont="1" applyBorder="1" applyAlignment="1">
      <alignment horizontal="center"/>
    </xf>
    <xf numFmtId="0" fontId="26" fillId="0" borderId="27" xfId="6" applyFont="1" applyBorder="1" applyAlignment="1">
      <alignment horizontal="center"/>
    </xf>
    <xf numFmtId="0" fontId="26" fillId="0" borderId="5" xfId="6" applyFont="1" applyBorder="1" applyAlignment="1">
      <alignment horizontal="center"/>
    </xf>
    <xf numFmtId="0" fontId="26" fillId="0" borderId="0" xfId="6" applyFont="1" applyBorder="1" applyAlignment="1">
      <alignment horizontal="center"/>
    </xf>
    <xf numFmtId="0" fontId="26" fillId="0" borderId="6" xfId="6" applyFont="1" applyBorder="1" applyAlignment="1">
      <alignment horizontal="center"/>
    </xf>
    <xf numFmtId="0" fontId="26" fillId="0" borderId="7" xfId="6" applyFont="1" applyBorder="1" applyAlignment="1">
      <alignment horizontal="center"/>
    </xf>
    <xf numFmtId="0" fontId="26" fillId="0" borderId="26" xfId="6" applyFont="1" applyBorder="1" applyAlignment="1">
      <alignment horizontal="center"/>
    </xf>
    <xf numFmtId="0" fontId="26" fillId="0" borderId="0" xfId="6" applyFont="1" applyAlignment="1">
      <alignment horizontal="center"/>
    </xf>
    <xf numFmtId="43" fontId="31" fillId="0" borderId="0" xfId="6" quotePrefix="1" applyNumberFormat="1" applyFont="1" applyBorder="1" applyAlignment="1">
      <alignment horizontal="center"/>
    </xf>
    <xf numFmtId="0" fontId="24" fillId="0" borderId="5" xfId="6" applyFont="1" applyBorder="1" applyAlignment="1">
      <alignment horizontal="center"/>
    </xf>
    <xf numFmtId="0" fontId="24" fillId="0" borderId="0" xfId="6" applyFont="1" applyBorder="1" applyAlignment="1">
      <alignment horizontal="center"/>
    </xf>
    <xf numFmtId="0" fontId="24" fillId="0" borderId="6" xfId="6" applyFont="1" applyBorder="1" applyAlignment="1">
      <alignment horizontal="center"/>
    </xf>
    <xf numFmtId="43" fontId="33" fillId="0" borderId="0" xfId="6" quotePrefix="1" applyNumberFormat="1" applyFont="1" applyBorder="1" applyAlignment="1">
      <alignment horizontal="center"/>
    </xf>
    <xf numFmtId="0" fontId="12" fillId="0" borderId="0" xfId="8" applyFont="1" applyBorder="1" applyAlignment="1">
      <alignment horizontal="left" vertical="top" wrapText="1"/>
    </xf>
    <xf numFmtId="0" fontId="8" fillId="0" borderId="0" xfId="8" applyFont="1" applyFill="1" applyBorder="1" applyAlignment="1">
      <alignment horizontal="center"/>
    </xf>
    <xf numFmtId="0" fontId="12" fillId="0" borderId="0" xfId="8" applyFont="1" applyFill="1" applyBorder="1" applyAlignment="1">
      <alignment horizontal="center"/>
    </xf>
    <xf numFmtId="0" fontId="12" fillId="0" borderId="2" xfId="8" applyFont="1" applyBorder="1" applyAlignment="1">
      <alignment vertical="top" wrapText="1"/>
    </xf>
    <xf numFmtId="0" fontId="12" fillId="0" borderId="3" xfId="8" applyFont="1" applyBorder="1" applyAlignment="1">
      <alignment vertical="top" wrapText="1"/>
    </xf>
    <xf numFmtId="0" fontId="43" fillId="0" borderId="0" xfId="8" quotePrefix="1" applyFont="1" applyAlignment="1">
      <alignment horizontal="center" vertical="distributed" textRotation="180"/>
    </xf>
    <xf numFmtId="0" fontId="8" fillId="0" borderId="0" xfId="10" applyFont="1" applyFill="1" applyBorder="1" applyAlignment="1">
      <alignment horizontal="center"/>
    </xf>
    <xf numFmtId="0" fontId="12" fillId="0" borderId="0" xfId="10" applyFont="1" applyFill="1" applyBorder="1" applyAlignment="1">
      <alignment horizontal="center"/>
    </xf>
    <xf numFmtId="0" fontId="8" fillId="0" borderId="0" xfId="8" applyFont="1" applyBorder="1" applyAlignment="1">
      <alignment horizontal="center" vertical="center"/>
    </xf>
    <xf numFmtId="0" fontId="46" fillId="0" borderId="0" xfId="8" applyFont="1" applyBorder="1" applyAlignment="1">
      <alignment horizontal="center" vertical="center"/>
    </xf>
    <xf numFmtId="0" fontId="35" fillId="0" borderId="0" xfId="8" applyFont="1" applyBorder="1" applyAlignment="1">
      <alignment horizontal="left" vertical="top" wrapText="1"/>
    </xf>
    <xf numFmtId="0" fontId="8" fillId="3" borderId="1" xfId="8" applyFont="1" applyFill="1" applyBorder="1" applyAlignment="1">
      <alignment horizontal="center" vertical="center" wrapText="1"/>
    </xf>
    <xf numFmtId="0" fontId="8" fillId="3" borderId="3" xfId="8" applyFont="1" applyFill="1" applyBorder="1" applyAlignment="1">
      <alignment horizontal="center" vertical="center" wrapText="1"/>
    </xf>
    <xf numFmtId="0" fontId="8" fillId="3" borderId="9" xfId="8" applyFont="1" applyFill="1" applyBorder="1" applyAlignment="1">
      <alignment horizontal="center" vertical="center"/>
    </xf>
    <xf numFmtId="0" fontId="8" fillId="3" borderId="7" xfId="8" applyFont="1" applyFill="1" applyBorder="1" applyAlignment="1">
      <alignment horizontal="center" vertical="center"/>
    </xf>
    <xf numFmtId="0" fontId="8" fillId="3" borderId="15" xfId="8" applyFont="1" applyFill="1" applyBorder="1" applyAlignment="1">
      <alignment horizontal="center"/>
    </xf>
    <xf numFmtId="0" fontId="8" fillId="3" borderId="41" xfId="8" applyFont="1" applyFill="1" applyBorder="1" applyAlignment="1">
      <alignment horizontal="center"/>
    </xf>
    <xf numFmtId="43" fontId="12" fillId="0" borderId="1" xfId="9" applyFont="1" applyBorder="1" applyAlignment="1">
      <alignment horizontal="center" vertical="center"/>
    </xf>
    <xf numFmtId="43" fontId="12" fillId="0" borderId="2" xfId="9" applyFont="1" applyBorder="1" applyAlignment="1">
      <alignment horizontal="center" vertical="center"/>
    </xf>
    <xf numFmtId="43" fontId="12" fillId="0" borderId="3" xfId="9" applyFont="1" applyBorder="1" applyAlignment="1">
      <alignment horizontal="center" vertical="center"/>
    </xf>
    <xf numFmtId="0" fontId="12" fillId="0" borderId="2" xfId="8" applyFont="1" applyBorder="1" applyAlignment="1">
      <alignment wrapText="1"/>
    </xf>
    <xf numFmtId="0" fontId="12" fillId="0" borderId="2" xfId="8" applyFont="1" applyBorder="1" applyAlignment="1">
      <alignment horizontal="left" vertical="top" wrapText="1"/>
    </xf>
    <xf numFmtId="0" fontId="43" fillId="0" borderId="0" xfId="8" applyFont="1" applyAlignment="1">
      <alignment horizontal="center" vertical="distributed" textRotation="180"/>
    </xf>
    <xf numFmtId="0" fontId="12" fillId="0" borderId="1" xfId="8" applyFont="1" applyFill="1" applyBorder="1" applyAlignment="1">
      <alignment horizontal="left" vertical="top" wrapText="1"/>
    </xf>
    <xf numFmtId="0" fontId="12" fillId="0" borderId="2" xfId="8" applyFont="1" applyFill="1" applyBorder="1" applyAlignment="1">
      <alignment horizontal="left" vertical="top" wrapText="1"/>
    </xf>
    <xf numFmtId="0" fontId="12" fillId="0" borderId="1" xfId="8" applyFont="1" applyBorder="1" applyAlignment="1">
      <alignment horizontal="left" vertical="top" wrapText="1"/>
    </xf>
    <xf numFmtId="0" fontId="12" fillId="0" borderId="1" xfId="8" applyFont="1" applyBorder="1" applyAlignment="1">
      <alignment horizontal="left" vertical="center" wrapText="1"/>
    </xf>
    <xf numFmtId="0" fontId="12" fillId="0" borderId="2" xfId="8" applyFont="1" applyBorder="1" applyAlignment="1">
      <alignment horizontal="left" vertical="center" wrapText="1"/>
    </xf>
    <xf numFmtId="0" fontId="8" fillId="0" borderId="0" xfId="8" applyFont="1" applyBorder="1" applyAlignment="1">
      <alignment horizontal="center"/>
    </xf>
    <xf numFmtId="0" fontId="12" fillId="0" borderId="0" xfId="8" applyFont="1" applyBorder="1" applyAlignment="1">
      <alignment horizontal="center"/>
    </xf>
    <xf numFmtId="0" fontId="12" fillId="0" borderId="0" xfId="8" applyFont="1" applyBorder="1" applyAlignment="1">
      <alignment horizontal="left" wrapText="1"/>
    </xf>
    <xf numFmtId="0" fontId="8" fillId="3" borderId="2" xfId="8" applyFont="1" applyFill="1" applyBorder="1" applyAlignment="1">
      <alignment horizontal="center" vertical="center" wrapText="1"/>
    </xf>
    <xf numFmtId="0" fontId="8" fillId="3" borderId="5" xfId="8" applyFont="1" applyFill="1" applyBorder="1" applyAlignment="1">
      <alignment horizontal="center" vertical="center"/>
    </xf>
    <xf numFmtId="0" fontId="36" fillId="3" borderId="1" xfId="8" applyFont="1" applyFill="1" applyBorder="1" applyAlignment="1">
      <alignment horizontal="center" vertical="center" wrapText="1"/>
    </xf>
    <xf numFmtId="0" fontId="36" fillId="3" borderId="3" xfId="8" applyFont="1" applyFill="1" applyBorder="1" applyAlignment="1">
      <alignment horizontal="center" vertical="center" wrapText="1"/>
    </xf>
    <xf numFmtId="0" fontId="36" fillId="3" borderId="19" xfId="8" applyFont="1" applyFill="1" applyBorder="1" applyAlignment="1">
      <alignment horizontal="center" vertical="center" wrapText="1"/>
    </xf>
    <xf numFmtId="0" fontId="36" fillId="3" borderId="15" xfId="8" applyFont="1" applyFill="1" applyBorder="1" applyAlignment="1">
      <alignment horizontal="center" vertical="center" wrapText="1"/>
    </xf>
    <xf numFmtId="0" fontId="36" fillId="3" borderId="41" xfId="8" applyFont="1" applyFill="1" applyBorder="1" applyAlignment="1">
      <alignment horizontal="center" vertical="center" wrapText="1"/>
    </xf>
    <xf numFmtId="43" fontId="35" fillId="0" borderId="9" xfId="9" applyFont="1" applyBorder="1" applyAlignment="1">
      <alignment horizontal="center" vertical="center"/>
    </xf>
    <xf numFmtId="43" fontId="35" fillId="0" borderId="5" xfId="9" applyFont="1" applyBorder="1" applyAlignment="1">
      <alignment horizontal="center" vertical="center"/>
    </xf>
    <xf numFmtId="43" fontId="35" fillId="0" borderId="7" xfId="9" applyFont="1" applyBorder="1" applyAlignment="1">
      <alignment horizontal="center" vertical="center"/>
    </xf>
    <xf numFmtId="43" fontId="35" fillId="0" borderId="28" xfId="9" applyFont="1" applyBorder="1" applyAlignment="1">
      <alignment horizontal="center" vertical="center"/>
    </xf>
    <xf numFmtId="43" fontId="35" fillId="0" borderId="0" xfId="9" applyFont="1" applyBorder="1" applyAlignment="1">
      <alignment horizontal="center" vertical="center"/>
    </xf>
    <xf numFmtId="43" fontId="35" fillId="0" borderId="12" xfId="9" applyFont="1" applyBorder="1" applyAlignment="1">
      <alignment horizontal="center" vertical="center"/>
    </xf>
    <xf numFmtId="43" fontId="35" fillId="0" borderId="27" xfId="9" applyFont="1" applyBorder="1" applyAlignment="1">
      <alignment horizontal="center" vertical="center"/>
    </xf>
    <xf numFmtId="43" fontId="35" fillId="0" borderId="6" xfId="9" applyFont="1" applyBorder="1" applyAlignment="1">
      <alignment horizontal="center" vertical="center"/>
    </xf>
    <xf numFmtId="43" fontId="35" fillId="0" borderId="26" xfId="9" applyFont="1" applyBorder="1" applyAlignment="1">
      <alignment horizontal="center" vertical="center"/>
    </xf>
    <xf numFmtId="0" fontId="36" fillId="0" borderId="0" xfId="8" applyFont="1" applyBorder="1" applyAlignment="1">
      <alignment horizontal="center"/>
    </xf>
    <xf numFmtId="0" fontId="36" fillId="0" borderId="0" xfId="8" applyFont="1" applyFill="1" applyBorder="1" applyAlignment="1">
      <alignment horizontal="center"/>
    </xf>
    <xf numFmtId="0" fontId="36" fillId="0" borderId="0" xfId="10" applyFont="1" applyFill="1" applyBorder="1" applyAlignment="1">
      <alignment horizontal="center"/>
    </xf>
    <xf numFmtId="0" fontId="35" fillId="0" borderId="0" xfId="8" applyFont="1" applyBorder="1" applyAlignment="1">
      <alignment horizontal="center"/>
    </xf>
    <xf numFmtId="0" fontId="35" fillId="0" borderId="0" xfId="8" applyFont="1" applyFill="1" applyBorder="1" applyAlignment="1">
      <alignment horizontal="center"/>
    </xf>
    <xf numFmtId="0" fontId="35" fillId="0" borderId="0" xfId="10" applyFont="1" applyFill="1" applyBorder="1" applyAlignment="1">
      <alignment horizontal="center"/>
    </xf>
    <xf numFmtId="0" fontId="36" fillId="3" borderId="0" xfId="8" applyFont="1" applyFill="1" applyBorder="1" applyAlignment="1">
      <alignment horizontal="center" vertical="center" wrapText="1"/>
    </xf>
    <xf numFmtId="0" fontId="50" fillId="0" borderId="0" xfId="8" applyFont="1" applyBorder="1" applyAlignment="1">
      <alignment horizontal="center"/>
    </xf>
    <xf numFmtId="0" fontId="51" fillId="0" borderId="0" xfId="8" applyFont="1" applyBorder="1" applyAlignment="1">
      <alignment horizontal="center"/>
    </xf>
    <xf numFmtId="0" fontId="35" fillId="0" borderId="0" xfId="8" applyFont="1" applyAlignment="1">
      <alignment horizontal="left" vertical="top" wrapText="1"/>
    </xf>
    <xf numFmtId="0" fontId="35" fillId="0" borderId="0" xfId="8" applyFont="1" applyAlignment="1">
      <alignment horizontal="left" vertical="top"/>
    </xf>
    <xf numFmtId="0" fontId="36" fillId="3" borderId="28" xfId="8" applyFont="1" applyFill="1" applyBorder="1" applyAlignment="1">
      <alignment horizontal="center" vertical="center" wrapText="1"/>
    </xf>
    <xf numFmtId="0" fontId="36" fillId="3" borderId="27" xfId="8" applyFont="1" applyFill="1" applyBorder="1" applyAlignment="1">
      <alignment horizontal="center" vertical="center" wrapText="1"/>
    </xf>
    <xf numFmtId="0" fontId="35" fillId="0" borderId="1" xfId="8" applyFont="1" applyFill="1" applyBorder="1" applyAlignment="1">
      <alignment horizontal="center" vertical="center" wrapText="1"/>
    </xf>
    <xf numFmtId="0" fontId="35" fillId="0" borderId="2" xfId="8" applyFont="1" applyFill="1" applyBorder="1" applyAlignment="1">
      <alignment horizontal="center" vertical="center" wrapText="1"/>
    </xf>
    <xf numFmtId="0" fontId="35" fillId="0" borderId="3" xfId="8" applyFont="1" applyFill="1" applyBorder="1" applyAlignment="1">
      <alignment horizontal="center" vertical="center" wrapText="1"/>
    </xf>
    <xf numFmtId="43" fontId="35" fillId="0" borderId="5" xfId="9" applyNumberFormat="1" applyFont="1" applyBorder="1" applyAlignment="1">
      <alignment horizontal="center" vertical="center"/>
    </xf>
    <xf numFmtId="43" fontId="35" fillId="0" borderId="0" xfId="9" applyNumberFormat="1" applyFont="1" applyBorder="1" applyAlignment="1">
      <alignment horizontal="center" vertical="center"/>
    </xf>
    <xf numFmtId="43" fontId="35" fillId="0" borderId="6" xfId="9" applyNumberFormat="1" applyFont="1" applyBorder="1" applyAlignment="1">
      <alignment horizontal="center" vertical="center"/>
    </xf>
    <xf numFmtId="0" fontId="12" fillId="0" borderId="3" xfId="8" applyFont="1" applyFill="1" applyBorder="1" applyAlignment="1">
      <alignment horizontal="left" vertical="top" wrapText="1"/>
    </xf>
    <xf numFmtId="166" fontId="12" fillId="0" borderId="1" xfId="9" applyNumberFormat="1" applyFont="1" applyFill="1" applyBorder="1" applyAlignment="1">
      <alignment horizontal="left" vertical="top" wrapText="1"/>
    </xf>
    <xf numFmtId="166" fontId="12" fillId="0" borderId="2" xfId="9" applyNumberFormat="1" applyFont="1" applyFill="1" applyBorder="1" applyAlignment="1">
      <alignment horizontal="left" vertical="top" wrapText="1"/>
    </xf>
    <xf numFmtId="166" fontId="12" fillId="0" borderId="3" xfId="9" applyNumberFormat="1" applyFont="1" applyFill="1" applyBorder="1" applyAlignment="1">
      <alignment horizontal="left" vertical="top" wrapText="1"/>
    </xf>
    <xf numFmtId="0" fontId="12" fillId="0" borderId="3" xfId="8" applyFont="1" applyBorder="1" applyAlignment="1">
      <alignment horizontal="left" vertical="top" wrapText="1"/>
    </xf>
    <xf numFmtId="49" fontId="12" fillId="0" borderId="1" xfId="8" applyNumberFormat="1" applyFont="1" applyFill="1" applyBorder="1" applyAlignment="1">
      <alignment horizontal="left" vertical="top" wrapText="1"/>
    </xf>
    <xf numFmtId="49" fontId="12" fillId="0" borderId="2" xfId="8" applyNumberFormat="1" applyFont="1" applyFill="1" applyBorder="1" applyAlignment="1">
      <alignment horizontal="left" vertical="top" wrapText="1"/>
    </xf>
    <xf numFmtId="0" fontId="12" fillId="0" borderId="0" xfId="8" applyFont="1" applyFill="1" applyBorder="1" applyAlignment="1">
      <alignment horizontal="left" vertical="top" wrapText="1"/>
    </xf>
    <xf numFmtId="43" fontId="12" fillId="0" borderId="27" xfId="9" applyFont="1" applyBorder="1" applyAlignment="1">
      <alignment horizontal="center" vertical="center"/>
    </xf>
    <xf numFmtId="43" fontId="12" fillId="0" borderId="6" xfId="9" applyFont="1" applyBorder="1" applyAlignment="1">
      <alignment horizontal="center" vertical="center"/>
    </xf>
    <xf numFmtId="43" fontId="12" fillId="0" borderId="26" xfId="9" applyFont="1" applyBorder="1" applyAlignment="1">
      <alignment horizontal="center" vertical="center"/>
    </xf>
    <xf numFmtId="49" fontId="12" fillId="0" borderId="1" xfId="8" applyNumberFormat="1" applyFont="1" applyFill="1" applyBorder="1" applyAlignment="1">
      <alignment horizontal="left" vertical="center" wrapText="1"/>
    </xf>
    <xf numFmtId="49" fontId="12" fillId="0" borderId="2" xfId="8" applyNumberFormat="1" applyFont="1" applyFill="1" applyBorder="1" applyAlignment="1">
      <alignment horizontal="left" vertical="center" wrapText="1"/>
    </xf>
    <xf numFmtId="49" fontId="12" fillId="0" borderId="3" xfId="8" applyNumberFormat="1" applyFont="1" applyFill="1" applyBorder="1" applyAlignment="1">
      <alignment horizontal="left" vertical="center" wrapText="1"/>
    </xf>
    <xf numFmtId="49" fontId="12" fillId="0" borderId="3" xfId="8" applyNumberFormat="1" applyFont="1" applyFill="1" applyBorder="1" applyAlignment="1">
      <alignment horizontal="left" vertical="top" wrapText="1"/>
    </xf>
    <xf numFmtId="0" fontId="12" fillId="0" borderId="0" xfId="8" applyFont="1" applyAlignment="1">
      <alignment horizontal="left" wrapText="1"/>
    </xf>
    <xf numFmtId="0" fontId="12" fillId="0" borderId="12" xfId="8" applyFont="1" applyBorder="1" applyAlignment="1">
      <alignment horizontal="left" wrapText="1"/>
    </xf>
    <xf numFmtId="0" fontId="12" fillId="0" borderId="27" xfId="8" applyFont="1" applyBorder="1" applyAlignment="1">
      <alignment horizontal="left" vertical="top" wrapText="1"/>
    </xf>
    <xf numFmtId="0" fontId="12" fillId="0" borderId="6" xfId="8" applyFont="1" applyBorder="1" applyAlignment="1">
      <alignment horizontal="left" vertical="top" wrapText="1"/>
    </xf>
    <xf numFmtId="0" fontId="12" fillId="0" borderId="26" xfId="8" applyFont="1" applyBorder="1" applyAlignment="1">
      <alignment horizontal="left" vertical="top" wrapText="1"/>
    </xf>
    <xf numFmtId="0" fontId="12" fillId="0" borderId="27" xfId="8" applyFont="1" applyFill="1" applyBorder="1" applyAlignment="1">
      <alignment horizontal="left" vertical="top" wrapText="1"/>
    </xf>
    <xf numFmtId="0" fontId="12" fillId="0" borderId="26" xfId="8" applyFont="1" applyFill="1" applyBorder="1" applyAlignment="1">
      <alignment horizontal="left" vertical="top" wrapText="1"/>
    </xf>
    <xf numFmtId="0" fontId="8" fillId="3" borderId="1" xfId="8" applyFont="1" applyFill="1" applyBorder="1" applyAlignment="1">
      <alignment horizontal="center" vertical="center"/>
    </xf>
    <xf numFmtId="0" fontId="8" fillId="3" borderId="3" xfId="8" applyFont="1" applyFill="1" applyBorder="1" applyAlignment="1">
      <alignment horizontal="center" vertical="center"/>
    </xf>
    <xf numFmtId="0" fontId="8" fillId="3" borderId="19" xfId="8" applyFont="1" applyFill="1" applyBorder="1" applyAlignment="1">
      <alignment horizontal="center"/>
    </xf>
    <xf numFmtId="49" fontId="12" fillId="0" borderId="1" xfId="9" applyNumberFormat="1" applyFont="1" applyFill="1" applyBorder="1" applyAlignment="1">
      <alignment horizontal="left" vertical="top" wrapText="1"/>
    </xf>
    <xf numFmtId="49" fontId="12" fillId="0" borderId="2" xfId="9" applyNumberFormat="1" applyFont="1" applyFill="1" applyBorder="1" applyAlignment="1">
      <alignment horizontal="left" vertical="top" wrapText="1"/>
    </xf>
    <xf numFmtId="49" fontId="12" fillId="0" borderId="3" xfId="9" applyNumberFormat="1" applyFont="1" applyFill="1" applyBorder="1" applyAlignment="1">
      <alignment horizontal="left" vertical="top" wrapText="1"/>
    </xf>
    <xf numFmtId="0" fontId="35" fillId="0" borderId="0" xfId="8" applyFont="1" applyBorder="1" applyAlignment="1">
      <alignment horizontal="left"/>
    </xf>
    <xf numFmtId="43" fontId="35" fillId="0" borderId="1" xfId="9" applyFont="1" applyBorder="1" applyAlignment="1">
      <alignment horizontal="center" vertical="center"/>
    </xf>
    <xf numFmtId="43" fontId="35" fillId="0" borderId="2" xfId="9" applyFont="1" applyBorder="1" applyAlignment="1">
      <alignment horizontal="center" vertical="center"/>
    </xf>
    <xf numFmtId="43" fontId="35" fillId="0" borderId="3" xfId="9" applyFont="1" applyBorder="1" applyAlignment="1">
      <alignment horizontal="center" vertical="center"/>
    </xf>
    <xf numFmtId="0" fontId="8" fillId="3" borderId="4" xfId="8" applyFont="1" applyFill="1" applyBorder="1" applyAlignment="1">
      <alignment horizontal="center" vertical="center" wrapText="1"/>
    </xf>
    <xf numFmtId="43" fontId="18" fillId="0" borderId="0" xfId="8" quotePrefix="1" applyNumberFormat="1" applyFont="1" applyBorder="1" applyAlignment="1">
      <alignment horizontal="center" vertical="center" textRotation="180" wrapText="1"/>
    </xf>
    <xf numFmtId="0" fontId="43" fillId="0" borderId="0" xfId="8" quotePrefix="1" applyFont="1" applyAlignment="1">
      <alignment horizontal="center" vertical="center" textRotation="180"/>
    </xf>
    <xf numFmtId="0" fontId="43" fillId="0" borderId="0" xfId="8" applyFont="1" applyAlignment="1">
      <alignment horizontal="center" vertical="center" textRotation="180"/>
    </xf>
    <xf numFmtId="0" fontId="8" fillId="0" borderId="28" xfId="8" applyFont="1" applyFill="1" applyBorder="1" applyAlignment="1">
      <alignment horizontal="left" vertical="top" wrapText="1"/>
    </xf>
    <xf numFmtId="0" fontId="8" fillId="0" borderId="0" xfId="8" applyFont="1" applyFill="1" applyBorder="1" applyAlignment="1">
      <alignment horizontal="left" vertical="top" wrapText="1"/>
    </xf>
    <xf numFmtId="0" fontId="12" fillId="0" borderId="0" xfId="8" applyFont="1" applyAlignment="1">
      <alignment horizontal="center"/>
    </xf>
    <xf numFmtId="43" fontId="8" fillId="0" borderId="19" xfId="9" applyFont="1" applyBorder="1" applyAlignment="1">
      <alignment horizontal="center" vertical="center"/>
    </xf>
    <xf numFmtId="43" fontId="8" fillId="0" borderId="15" xfId="9" applyFont="1" applyBorder="1" applyAlignment="1">
      <alignment horizontal="center" vertical="center"/>
    </xf>
    <xf numFmtId="43" fontId="8" fillId="0" borderId="41" xfId="9" applyFont="1" applyBorder="1" applyAlignment="1">
      <alignment horizontal="center" vertical="center"/>
    </xf>
    <xf numFmtId="0" fontId="12" fillId="0" borderId="9" xfId="8" applyFont="1" applyBorder="1" applyAlignment="1">
      <alignment horizontal="left" vertical="top" wrapText="1"/>
    </xf>
    <xf numFmtId="0" fontId="12" fillId="0" borderId="5" xfId="8" applyFont="1" applyBorder="1" applyAlignment="1">
      <alignment horizontal="left" vertical="top" wrapText="1"/>
    </xf>
    <xf numFmtId="0" fontId="12" fillId="0" borderId="7" xfId="8" applyFont="1" applyBorder="1" applyAlignment="1">
      <alignment horizontal="left" vertical="top" wrapText="1"/>
    </xf>
    <xf numFmtId="0" fontId="43" fillId="0" borderId="0" xfId="0" quotePrefix="1" applyFont="1" applyAlignment="1">
      <alignment horizontal="center"/>
    </xf>
    <xf numFmtId="0" fontId="43" fillId="0" borderId="0" xfId="0" applyFont="1" applyAlignment="1">
      <alignment horizontal="center"/>
    </xf>
    <xf numFmtId="0" fontId="10" fillId="0" borderId="0" xfId="0" applyFont="1" applyAlignment="1">
      <alignment horizontal="center"/>
    </xf>
    <xf numFmtId="0" fontId="3" fillId="0" borderId="0" xfId="0" applyFont="1" applyAlignment="1">
      <alignment horizont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6" fillId="0" borderId="26" xfId="0" applyFont="1" applyBorder="1" applyAlignment="1">
      <alignment horizontal="center" vertical="center"/>
    </xf>
    <xf numFmtId="0" fontId="6" fillId="0" borderId="19" xfId="0" applyFont="1" applyBorder="1" applyAlignment="1">
      <alignment horizontal="center"/>
    </xf>
    <xf numFmtId="0" fontId="6" fillId="0" borderId="15" xfId="0" applyFont="1" applyBorder="1" applyAlignment="1">
      <alignment horizontal="center"/>
    </xf>
    <xf numFmtId="0" fontId="6" fillId="0" borderId="41" xfId="0" applyFont="1" applyBorder="1" applyAlignment="1">
      <alignment horizontal="center"/>
    </xf>
    <xf numFmtId="0" fontId="6" fillId="0" borderId="7" xfId="0" applyFont="1" applyBorder="1" applyAlignment="1">
      <alignment horizontal="center"/>
    </xf>
    <xf numFmtId="0" fontId="6" fillId="0" borderId="12" xfId="0" applyFont="1" applyBorder="1" applyAlignment="1">
      <alignment horizontal="center"/>
    </xf>
    <xf numFmtId="0" fontId="6" fillId="0" borderId="26" xfId="0" applyFont="1" applyBorder="1" applyAlignment="1">
      <alignment horizontal="center"/>
    </xf>
    <xf numFmtId="0" fontId="0" fillId="0" borderId="24" xfId="0" applyBorder="1" applyAlignment="1">
      <alignment horizontal="center"/>
    </xf>
    <xf numFmtId="0" fontId="0" fillId="0" borderId="14" xfId="0" applyBorder="1" applyAlignment="1">
      <alignment horizontal="center"/>
    </xf>
    <xf numFmtId="0" fontId="0" fillId="0" borderId="25" xfId="0" applyBorder="1" applyAlignment="1">
      <alignment horizontal="center"/>
    </xf>
    <xf numFmtId="49" fontId="6" fillId="0" borderId="0" xfId="0" applyNumberFormat="1" applyFont="1" applyAlignment="1">
      <alignment horizontal="center"/>
    </xf>
    <xf numFmtId="49" fontId="43" fillId="0" borderId="0" xfId="0" quotePrefix="1" applyNumberFormat="1" applyFont="1" applyAlignment="1">
      <alignment horizontal="center"/>
    </xf>
    <xf numFmtId="49" fontId="43" fillId="0" borderId="0" xfId="0" applyNumberFormat="1" applyFont="1" applyAlignment="1">
      <alignment horizontal="center"/>
    </xf>
    <xf numFmtId="49" fontId="18" fillId="0" borderId="0" xfId="0" applyNumberFormat="1" applyFont="1" applyAlignment="1">
      <alignment horizontal="center"/>
    </xf>
    <xf numFmtId="49" fontId="10" fillId="0" borderId="0" xfId="0" applyNumberFormat="1" applyFont="1" applyAlignment="1">
      <alignment horizontal="center"/>
    </xf>
    <xf numFmtId="0" fontId="6" fillId="0" borderId="22" xfId="0" applyFont="1" applyBorder="1" applyAlignment="1">
      <alignment horizontal="center"/>
    </xf>
    <xf numFmtId="49" fontId="3" fillId="0" borderId="0" xfId="0" applyNumberFormat="1" applyFont="1" applyAlignment="1">
      <alignment horizontal="center"/>
    </xf>
    <xf numFmtId="0" fontId="43" fillId="0" borderId="0" xfId="6" quotePrefix="1" applyFont="1" applyAlignment="1">
      <alignment horizontal="center"/>
    </xf>
    <xf numFmtId="0" fontId="15" fillId="0" borderId="0" xfId="6" applyFont="1" applyAlignment="1">
      <alignment horizontal="center"/>
    </xf>
    <xf numFmtId="0" fontId="14" fillId="0" borderId="0" xfId="6" applyFont="1" applyAlignment="1">
      <alignment horizontal="center"/>
    </xf>
    <xf numFmtId="0" fontId="43" fillId="0" borderId="0" xfId="6" applyFont="1" applyAlignment="1">
      <alignment horizontal="center"/>
    </xf>
    <xf numFmtId="0" fontId="14" fillId="0" borderId="47" xfId="6" applyFont="1" applyBorder="1" applyAlignment="1">
      <alignment horizontal="center"/>
    </xf>
    <xf numFmtId="0" fontId="14" fillId="0" borderId="48" xfId="6" applyFont="1" applyBorder="1" applyAlignment="1">
      <alignment horizontal="center"/>
    </xf>
    <xf numFmtId="0" fontId="14" fillId="0" borderId="49" xfId="6" applyFont="1" applyBorder="1" applyAlignment="1">
      <alignment horizontal="center"/>
    </xf>
    <xf numFmtId="0" fontId="14" fillId="0" borderId="19" xfId="6" applyFont="1" applyBorder="1" applyAlignment="1">
      <alignment horizontal="center"/>
    </xf>
    <xf numFmtId="0" fontId="14" fillId="0" borderId="15" xfId="6" applyFont="1" applyBorder="1" applyAlignment="1">
      <alignment horizontal="center"/>
    </xf>
    <xf numFmtId="0" fontId="14" fillId="0" borderId="41" xfId="6" applyFont="1" applyBorder="1" applyAlignment="1">
      <alignment horizontal="center"/>
    </xf>
    <xf numFmtId="0" fontId="14" fillId="0" borderId="7" xfId="6" applyFont="1" applyBorder="1" applyAlignment="1">
      <alignment horizontal="center"/>
    </xf>
    <xf numFmtId="0" fontId="14" fillId="0" borderId="12" xfId="6" applyFont="1" applyBorder="1" applyAlignment="1">
      <alignment horizontal="center"/>
    </xf>
    <xf numFmtId="0" fontId="14" fillId="0" borderId="26" xfId="6" applyFont="1" applyBorder="1" applyAlignment="1">
      <alignment horizontal="center"/>
    </xf>
    <xf numFmtId="0" fontId="14" fillId="0" borderId="61" xfId="6" applyFont="1" applyBorder="1" applyAlignment="1">
      <alignment horizontal="center"/>
    </xf>
    <xf numFmtId="0" fontId="14" fillId="0" borderId="13" xfId="6" applyFont="1" applyBorder="1" applyAlignment="1">
      <alignment horizontal="center"/>
    </xf>
    <xf numFmtId="0" fontId="14" fillId="0" borderId="62" xfId="6" applyFont="1" applyBorder="1" applyAlignment="1">
      <alignment horizontal="center"/>
    </xf>
    <xf numFmtId="0" fontId="15" fillId="0" borderId="14" xfId="6" applyFont="1" applyBorder="1" applyAlignment="1">
      <alignment horizontal="center"/>
    </xf>
    <xf numFmtId="0" fontId="15" fillId="0" borderId="22" xfId="6" applyFont="1" applyBorder="1" applyAlignment="1">
      <alignment horizontal="center" wrapText="1"/>
    </xf>
    <xf numFmtId="0" fontId="15" fillId="0" borderId="0" xfId="6" applyFont="1" applyBorder="1" applyAlignment="1">
      <alignment horizontal="center" wrapText="1"/>
    </xf>
    <xf numFmtId="0" fontId="15" fillId="0" borderId="23" xfId="6" applyFont="1" applyBorder="1" applyAlignment="1">
      <alignment horizontal="center" wrapText="1"/>
    </xf>
    <xf numFmtId="0" fontId="18" fillId="0" borderId="0" xfId="0" applyFont="1" applyAlignment="1">
      <alignment horizontal="center"/>
    </xf>
    <xf numFmtId="0" fontId="45" fillId="0" borderId="0" xfId="0" applyFont="1" applyAlignment="1">
      <alignment horizontal="center"/>
    </xf>
    <xf numFmtId="0" fontId="16" fillId="0" borderId="0" xfId="0" applyFont="1" applyAlignment="1">
      <alignment horizontal="center"/>
    </xf>
    <xf numFmtId="0" fontId="21" fillId="0" borderId="0" xfId="0" applyFont="1" applyAlignment="1">
      <alignment horizontal="center"/>
    </xf>
    <xf numFmtId="0" fontId="12" fillId="0" borderId="0" xfId="0" applyFont="1" applyAlignment="1">
      <alignment horizontal="center"/>
    </xf>
    <xf numFmtId="0" fontId="4" fillId="0" borderId="0" xfId="0" applyFont="1" applyAlignment="1">
      <alignment horizontal="center"/>
    </xf>
    <xf numFmtId="43" fontId="31" fillId="0" borderId="0" xfId="0" quotePrefix="1" applyNumberFormat="1" applyFont="1" applyBorder="1" applyAlignment="1">
      <alignment horizontal="center"/>
    </xf>
    <xf numFmtId="0" fontId="20" fillId="0" borderId="0" xfId="0" applyFont="1" applyAlignment="1">
      <alignment horizontal="center"/>
    </xf>
    <xf numFmtId="0" fontId="13" fillId="0" borderId="0" xfId="0" applyFont="1" applyAlignment="1">
      <alignment horizontal="center"/>
    </xf>
    <xf numFmtId="0" fontId="3" fillId="0" borderId="0" xfId="0" applyFont="1" applyFill="1"/>
    <xf numFmtId="0" fontId="4" fillId="0" borderId="0" xfId="0" applyFont="1" applyFill="1"/>
    <xf numFmtId="43" fontId="55" fillId="0" borderId="0" xfId="1" applyFont="1" applyFill="1"/>
    <xf numFmtId="0" fontId="6" fillId="0" borderId="0" xfId="0" applyFont="1" applyFill="1"/>
    <xf numFmtId="4" fontId="3" fillId="0" borderId="0" xfId="0" quotePrefix="1" applyNumberFormat="1" applyFont="1" applyFill="1"/>
    <xf numFmtId="4" fontId="3" fillId="0" borderId="0" xfId="0" applyNumberFormat="1" applyFont="1" applyFill="1"/>
    <xf numFmtId="0" fontId="56" fillId="0" borderId="0" xfId="0" applyFont="1" applyFill="1"/>
    <xf numFmtId="0" fontId="44" fillId="0" borderId="0" xfId="0" applyFont="1" applyFill="1"/>
    <xf numFmtId="0" fontId="7" fillId="0" borderId="0" xfId="0" applyFont="1" applyFill="1"/>
    <xf numFmtId="43" fontId="7" fillId="0" borderId="0" xfId="1" applyFont="1" applyFill="1"/>
  </cellXfs>
  <cellStyles count="14">
    <cellStyle name="Comma" xfId="1" builtinId="3"/>
    <cellStyle name="Comma 2" xfId="2"/>
    <cellStyle name="Comma 2 2" xfId="7"/>
    <cellStyle name="Comma 3" xfId="3"/>
    <cellStyle name="Comma 4" xfId="9"/>
    <cellStyle name="Comma 5" xfId="12"/>
    <cellStyle name="Excel Built-in Normal" xfId="10"/>
    <cellStyle name="Normal" xfId="0" builtinId="0"/>
    <cellStyle name="Normal 2" xfId="4"/>
    <cellStyle name="Normal 2 2" xfId="6"/>
    <cellStyle name="Normal 2 3" xfId="13"/>
    <cellStyle name="Normal 3" xfId="5"/>
    <cellStyle name="Normal 4" xfId="8"/>
    <cellStyle name="Normal 5" xfId="11"/>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19050</xdr:colOff>
      <xdr:row>10</xdr:row>
      <xdr:rowOff>76200</xdr:rowOff>
    </xdr:from>
    <xdr:to>
      <xdr:col>9</xdr:col>
      <xdr:colOff>133350</xdr:colOff>
      <xdr:row>29</xdr:row>
      <xdr:rowOff>19050</xdr:rowOff>
    </xdr:to>
    <xdr:sp macro="" textlink="">
      <xdr:nvSpPr>
        <xdr:cNvPr id="2" name="Right Brace 1">
          <a:extLst>
            <a:ext uri="{FF2B5EF4-FFF2-40B4-BE49-F238E27FC236}">
              <a16:creationId xmlns="" xmlns:a16="http://schemas.microsoft.com/office/drawing/2014/main" id="{00000000-0008-0000-0000-000002000000}"/>
            </a:ext>
          </a:extLst>
        </xdr:cNvPr>
        <xdr:cNvSpPr/>
      </xdr:nvSpPr>
      <xdr:spPr>
        <a:xfrm>
          <a:off x="9791700" y="2038350"/>
          <a:ext cx="114300" cy="50768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10</xdr:col>
      <xdr:colOff>12700</xdr:colOff>
      <xdr:row>10</xdr:row>
      <xdr:rowOff>44450</xdr:rowOff>
    </xdr:from>
    <xdr:to>
      <xdr:col>10</xdr:col>
      <xdr:colOff>107950</xdr:colOff>
      <xdr:row>29</xdr:row>
      <xdr:rowOff>15875</xdr:rowOff>
    </xdr:to>
    <xdr:sp macro="" textlink="">
      <xdr:nvSpPr>
        <xdr:cNvPr id="3" name="Right Brace 2">
          <a:extLst>
            <a:ext uri="{FF2B5EF4-FFF2-40B4-BE49-F238E27FC236}">
              <a16:creationId xmlns="" xmlns:a16="http://schemas.microsoft.com/office/drawing/2014/main" id="{00000000-0008-0000-0000-000003000000}"/>
            </a:ext>
          </a:extLst>
        </xdr:cNvPr>
        <xdr:cNvSpPr/>
      </xdr:nvSpPr>
      <xdr:spPr>
        <a:xfrm>
          <a:off x="10804525" y="2006600"/>
          <a:ext cx="95250" cy="51054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11</xdr:col>
      <xdr:colOff>19050</xdr:colOff>
      <xdr:row>10</xdr:row>
      <xdr:rowOff>66675</xdr:rowOff>
    </xdr:from>
    <xdr:to>
      <xdr:col>11</xdr:col>
      <xdr:colOff>139699</xdr:colOff>
      <xdr:row>29</xdr:row>
      <xdr:rowOff>22225</xdr:rowOff>
    </xdr:to>
    <xdr:sp macro="" textlink="">
      <xdr:nvSpPr>
        <xdr:cNvPr id="4" name="Right Brace 3">
          <a:extLst>
            <a:ext uri="{FF2B5EF4-FFF2-40B4-BE49-F238E27FC236}">
              <a16:creationId xmlns="" xmlns:a16="http://schemas.microsoft.com/office/drawing/2014/main" id="{00000000-0008-0000-0000-000004000000}"/>
            </a:ext>
          </a:extLst>
        </xdr:cNvPr>
        <xdr:cNvSpPr/>
      </xdr:nvSpPr>
      <xdr:spPr>
        <a:xfrm>
          <a:off x="11744325" y="2028825"/>
          <a:ext cx="120649" cy="50895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12</xdr:col>
      <xdr:colOff>12700</xdr:colOff>
      <xdr:row>10</xdr:row>
      <xdr:rowOff>76200</xdr:rowOff>
    </xdr:from>
    <xdr:to>
      <xdr:col>12</xdr:col>
      <xdr:colOff>114299</xdr:colOff>
      <xdr:row>29</xdr:row>
      <xdr:rowOff>15875</xdr:rowOff>
    </xdr:to>
    <xdr:sp macro="" textlink="">
      <xdr:nvSpPr>
        <xdr:cNvPr id="5" name="Right Brace 4">
          <a:extLst>
            <a:ext uri="{FF2B5EF4-FFF2-40B4-BE49-F238E27FC236}">
              <a16:creationId xmlns="" xmlns:a16="http://schemas.microsoft.com/office/drawing/2014/main" id="{00000000-0008-0000-0000-000005000000}"/>
            </a:ext>
          </a:extLst>
        </xdr:cNvPr>
        <xdr:cNvSpPr/>
      </xdr:nvSpPr>
      <xdr:spPr>
        <a:xfrm>
          <a:off x="12652375" y="2038350"/>
          <a:ext cx="101599" cy="50736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9</xdr:col>
      <xdr:colOff>19050</xdr:colOff>
      <xdr:row>49</xdr:row>
      <xdr:rowOff>171450</xdr:rowOff>
    </xdr:from>
    <xdr:to>
      <xdr:col>9</xdr:col>
      <xdr:colOff>133350</xdr:colOff>
      <xdr:row>62</xdr:row>
      <xdr:rowOff>123825</xdr:rowOff>
    </xdr:to>
    <xdr:sp macro="" textlink="">
      <xdr:nvSpPr>
        <xdr:cNvPr id="6" name="Right Brace 5">
          <a:extLst>
            <a:ext uri="{FF2B5EF4-FFF2-40B4-BE49-F238E27FC236}">
              <a16:creationId xmlns="" xmlns:a16="http://schemas.microsoft.com/office/drawing/2014/main" id="{00000000-0008-0000-0000-000006000000}"/>
            </a:ext>
          </a:extLst>
        </xdr:cNvPr>
        <xdr:cNvSpPr/>
      </xdr:nvSpPr>
      <xdr:spPr>
        <a:xfrm>
          <a:off x="9791700" y="11087100"/>
          <a:ext cx="114300" cy="26098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10</xdr:col>
      <xdr:colOff>12700</xdr:colOff>
      <xdr:row>49</xdr:row>
      <xdr:rowOff>158750</xdr:rowOff>
    </xdr:from>
    <xdr:to>
      <xdr:col>10</xdr:col>
      <xdr:colOff>107950</xdr:colOff>
      <xdr:row>62</xdr:row>
      <xdr:rowOff>149225</xdr:rowOff>
    </xdr:to>
    <xdr:sp macro="" textlink="">
      <xdr:nvSpPr>
        <xdr:cNvPr id="7" name="Right Brace 6">
          <a:extLst>
            <a:ext uri="{FF2B5EF4-FFF2-40B4-BE49-F238E27FC236}">
              <a16:creationId xmlns="" xmlns:a16="http://schemas.microsoft.com/office/drawing/2014/main" id="{00000000-0008-0000-0000-000007000000}"/>
            </a:ext>
          </a:extLst>
        </xdr:cNvPr>
        <xdr:cNvSpPr/>
      </xdr:nvSpPr>
      <xdr:spPr>
        <a:xfrm>
          <a:off x="10804525" y="11074400"/>
          <a:ext cx="95250" cy="26479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11</xdr:col>
      <xdr:colOff>19050</xdr:colOff>
      <xdr:row>49</xdr:row>
      <xdr:rowOff>171450</xdr:rowOff>
    </xdr:from>
    <xdr:to>
      <xdr:col>11</xdr:col>
      <xdr:colOff>139699</xdr:colOff>
      <xdr:row>62</xdr:row>
      <xdr:rowOff>165100</xdr:rowOff>
    </xdr:to>
    <xdr:sp macro="" textlink="">
      <xdr:nvSpPr>
        <xdr:cNvPr id="8" name="Right Brace 7">
          <a:extLst>
            <a:ext uri="{FF2B5EF4-FFF2-40B4-BE49-F238E27FC236}">
              <a16:creationId xmlns="" xmlns:a16="http://schemas.microsoft.com/office/drawing/2014/main" id="{00000000-0008-0000-0000-000008000000}"/>
            </a:ext>
          </a:extLst>
        </xdr:cNvPr>
        <xdr:cNvSpPr/>
      </xdr:nvSpPr>
      <xdr:spPr>
        <a:xfrm>
          <a:off x="11744325" y="11087100"/>
          <a:ext cx="120649" cy="26511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12</xdr:col>
      <xdr:colOff>12700</xdr:colOff>
      <xdr:row>50</xdr:row>
      <xdr:rowOff>0</xdr:rowOff>
    </xdr:from>
    <xdr:to>
      <xdr:col>12</xdr:col>
      <xdr:colOff>114299</xdr:colOff>
      <xdr:row>62</xdr:row>
      <xdr:rowOff>158750</xdr:rowOff>
    </xdr:to>
    <xdr:sp macro="" textlink="">
      <xdr:nvSpPr>
        <xdr:cNvPr id="9" name="Right Brace 8">
          <a:extLst>
            <a:ext uri="{FF2B5EF4-FFF2-40B4-BE49-F238E27FC236}">
              <a16:creationId xmlns="" xmlns:a16="http://schemas.microsoft.com/office/drawing/2014/main" id="{00000000-0008-0000-0000-000009000000}"/>
            </a:ext>
          </a:extLst>
        </xdr:cNvPr>
        <xdr:cNvSpPr/>
      </xdr:nvSpPr>
      <xdr:spPr>
        <a:xfrm>
          <a:off x="12652375" y="11096625"/>
          <a:ext cx="101599" cy="26352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10</xdr:col>
      <xdr:colOff>22225</xdr:colOff>
      <xdr:row>93</xdr:row>
      <xdr:rowOff>41276</xdr:rowOff>
    </xdr:from>
    <xdr:to>
      <xdr:col>10</xdr:col>
      <xdr:colOff>133350</xdr:colOff>
      <xdr:row>100</xdr:row>
      <xdr:rowOff>933451</xdr:rowOff>
    </xdr:to>
    <xdr:sp macro="" textlink="">
      <xdr:nvSpPr>
        <xdr:cNvPr id="11" name="Right Brace 10">
          <a:extLst>
            <a:ext uri="{FF2B5EF4-FFF2-40B4-BE49-F238E27FC236}">
              <a16:creationId xmlns="" xmlns:a16="http://schemas.microsoft.com/office/drawing/2014/main" id="{00000000-0008-0000-0000-00000B000000}"/>
            </a:ext>
          </a:extLst>
        </xdr:cNvPr>
        <xdr:cNvSpPr/>
      </xdr:nvSpPr>
      <xdr:spPr>
        <a:xfrm>
          <a:off x="10814050" y="19500851"/>
          <a:ext cx="111125" cy="38354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28576</xdr:colOff>
      <xdr:row>93</xdr:row>
      <xdr:rowOff>19050</xdr:rowOff>
    </xdr:from>
    <xdr:to>
      <xdr:col>11</xdr:col>
      <xdr:colOff>142875</xdr:colOff>
      <xdr:row>100</xdr:row>
      <xdr:rowOff>952501</xdr:rowOff>
    </xdr:to>
    <xdr:sp macro="" textlink="">
      <xdr:nvSpPr>
        <xdr:cNvPr id="12" name="Right Brace 11">
          <a:extLst>
            <a:ext uri="{FF2B5EF4-FFF2-40B4-BE49-F238E27FC236}">
              <a16:creationId xmlns="" xmlns:a16="http://schemas.microsoft.com/office/drawing/2014/main" id="{00000000-0008-0000-0000-00000C000000}"/>
            </a:ext>
          </a:extLst>
        </xdr:cNvPr>
        <xdr:cNvSpPr/>
      </xdr:nvSpPr>
      <xdr:spPr>
        <a:xfrm>
          <a:off x="11753851" y="19478625"/>
          <a:ext cx="114299" cy="387667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12700</xdr:colOff>
      <xdr:row>124</xdr:row>
      <xdr:rowOff>44450</xdr:rowOff>
    </xdr:from>
    <xdr:to>
      <xdr:col>9</xdr:col>
      <xdr:colOff>133350</xdr:colOff>
      <xdr:row>137</xdr:row>
      <xdr:rowOff>0</xdr:rowOff>
    </xdr:to>
    <xdr:sp macro="" textlink="">
      <xdr:nvSpPr>
        <xdr:cNvPr id="14" name="Right Brace 13">
          <a:extLst>
            <a:ext uri="{FF2B5EF4-FFF2-40B4-BE49-F238E27FC236}">
              <a16:creationId xmlns="" xmlns:a16="http://schemas.microsoft.com/office/drawing/2014/main" id="{00000000-0008-0000-0000-000016000000}"/>
            </a:ext>
          </a:extLst>
        </xdr:cNvPr>
        <xdr:cNvSpPr/>
      </xdr:nvSpPr>
      <xdr:spPr>
        <a:xfrm>
          <a:off x="9785350" y="29286200"/>
          <a:ext cx="120650" cy="46132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12700</xdr:colOff>
      <xdr:row>124</xdr:row>
      <xdr:rowOff>50800</xdr:rowOff>
    </xdr:from>
    <xdr:to>
      <xdr:col>10</xdr:col>
      <xdr:colOff>133350</xdr:colOff>
      <xdr:row>137</xdr:row>
      <xdr:rowOff>0</xdr:rowOff>
    </xdr:to>
    <xdr:sp macro="" textlink="">
      <xdr:nvSpPr>
        <xdr:cNvPr id="15" name="Right Brace 14">
          <a:extLst>
            <a:ext uri="{FF2B5EF4-FFF2-40B4-BE49-F238E27FC236}">
              <a16:creationId xmlns="" xmlns:a16="http://schemas.microsoft.com/office/drawing/2014/main" id="{00000000-0008-0000-0000-000017000000}"/>
            </a:ext>
          </a:extLst>
        </xdr:cNvPr>
        <xdr:cNvSpPr/>
      </xdr:nvSpPr>
      <xdr:spPr>
        <a:xfrm>
          <a:off x="10804525" y="29292550"/>
          <a:ext cx="120650" cy="46069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0</xdr:colOff>
      <xdr:row>124</xdr:row>
      <xdr:rowOff>38100</xdr:rowOff>
    </xdr:from>
    <xdr:to>
      <xdr:col>11</xdr:col>
      <xdr:colOff>120650</xdr:colOff>
      <xdr:row>137</xdr:row>
      <xdr:rowOff>0</xdr:rowOff>
    </xdr:to>
    <xdr:sp macro="" textlink="">
      <xdr:nvSpPr>
        <xdr:cNvPr id="16" name="Right Brace 15">
          <a:extLst>
            <a:ext uri="{FF2B5EF4-FFF2-40B4-BE49-F238E27FC236}">
              <a16:creationId xmlns="" xmlns:a16="http://schemas.microsoft.com/office/drawing/2014/main" id="{00000000-0008-0000-0000-000018000000}"/>
            </a:ext>
          </a:extLst>
        </xdr:cNvPr>
        <xdr:cNvSpPr/>
      </xdr:nvSpPr>
      <xdr:spPr>
        <a:xfrm>
          <a:off x="11725275" y="29279850"/>
          <a:ext cx="120650" cy="46196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0</xdr:colOff>
      <xdr:row>124</xdr:row>
      <xdr:rowOff>38100</xdr:rowOff>
    </xdr:from>
    <xdr:to>
      <xdr:col>12</xdr:col>
      <xdr:colOff>120650</xdr:colOff>
      <xdr:row>137</xdr:row>
      <xdr:rowOff>0</xdr:rowOff>
    </xdr:to>
    <xdr:sp macro="" textlink="">
      <xdr:nvSpPr>
        <xdr:cNvPr id="17" name="Right Brace 16">
          <a:extLst>
            <a:ext uri="{FF2B5EF4-FFF2-40B4-BE49-F238E27FC236}">
              <a16:creationId xmlns="" xmlns:a16="http://schemas.microsoft.com/office/drawing/2014/main" id="{00000000-0008-0000-0000-000019000000}"/>
            </a:ext>
          </a:extLst>
        </xdr:cNvPr>
        <xdr:cNvSpPr/>
      </xdr:nvSpPr>
      <xdr:spPr>
        <a:xfrm>
          <a:off x="12639675" y="29279850"/>
          <a:ext cx="120650" cy="46196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38099</xdr:colOff>
      <xdr:row>157</xdr:row>
      <xdr:rowOff>41275</xdr:rowOff>
    </xdr:from>
    <xdr:to>
      <xdr:col>9</xdr:col>
      <xdr:colOff>180974</xdr:colOff>
      <xdr:row>183</xdr:row>
      <xdr:rowOff>533400</xdr:rowOff>
    </xdr:to>
    <xdr:sp macro="" textlink="">
      <xdr:nvSpPr>
        <xdr:cNvPr id="18" name="Right Brace 17">
          <a:extLst>
            <a:ext uri="{FF2B5EF4-FFF2-40B4-BE49-F238E27FC236}">
              <a16:creationId xmlns="" xmlns:a16="http://schemas.microsoft.com/office/drawing/2014/main" id="{00000000-0008-0000-0000-000012000000}"/>
            </a:ext>
          </a:extLst>
        </xdr:cNvPr>
        <xdr:cNvSpPr/>
      </xdr:nvSpPr>
      <xdr:spPr>
        <a:xfrm>
          <a:off x="9810749" y="37817425"/>
          <a:ext cx="142875" cy="106934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10</xdr:col>
      <xdr:colOff>44450</xdr:colOff>
      <xdr:row>157</xdr:row>
      <xdr:rowOff>34925</xdr:rowOff>
    </xdr:from>
    <xdr:to>
      <xdr:col>10</xdr:col>
      <xdr:colOff>152400</xdr:colOff>
      <xdr:row>183</xdr:row>
      <xdr:rowOff>533400</xdr:rowOff>
    </xdr:to>
    <xdr:sp macro="" textlink="">
      <xdr:nvSpPr>
        <xdr:cNvPr id="19" name="Right Brace 18">
          <a:extLst>
            <a:ext uri="{FF2B5EF4-FFF2-40B4-BE49-F238E27FC236}">
              <a16:creationId xmlns="" xmlns:a16="http://schemas.microsoft.com/office/drawing/2014/main" id="{00000000-0008-0000-0000-000013000000}"/>
            </a:ext>
          </a:extLst>
        </xdr:cNvPr>
        <xdr:cNvSpPr/>
      </xdr:nvSpPr>
      <xdr:spPr>
        <a:xfrm>
          <a:off x="10836275" y="37811075"/>
          <a:ext cx="107950" cy="106997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11</xdr:col>
      <xdr:colOff>36831</xdr:colOff>
      <xdr:row>157</xdr:row>
      <xdr:rowOff>31751</xdr:rowOff>
    </xdr:from>
    <xdr:to>
      <xdr:col>11</xdr:col>
      <xdr:colOff>161925</xdr:colOff>
      <xdr:row>183</xdr:row>
      <xdr:rowOff>523875</xdr:rowOff>
    </xdr:to>
    <xdr:sp macro="" textlink="">
      <xdr:nvSpPr>
        <xdr:cNvPr id="20" name="Right Brace 19">
          <a:extLst>
            <a:ext uri="{FF2B5EF4-FFF2-40B4-BE49-F238E27FC236}">
              <a16:creationId xmlns="" xmlns:a16="http://schemas.microsoft.com/office/drawing/2014/main" id="{00000000-0008-0000-0000-000014000000}"/>
            </a:ext>
          </a:extLst>
        </xdr:cNvPr>
        <xdr:cNvSpPr/>
      </xdr:nvSpPr>
      <xdr:spPr>
        <a:xfrm>
          <a:off x="11762106" y="37807901"/>
          <a:ext cx="125094" cy="1069339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12</xdr:col>
      <xdr:colOff>15874</xdr:colOff>
      <xdr:row>157</xdr:row>
      <xdr:rowOff>38100</xdr:rowOff>
    </xdr:from>
    <xdr:to>
      <xdr:col>12</xdr:col>
      <xdr:colOff>190499</xdr:colOff>
      <xdr:row>183</xdr:row>
      <xdr:rowOff>523875</xdr:rowOff>
    </xdr:to>
    <xdr:sp macro="" textlink="">
      <xdr:nvSpPr>
        <xdr:cNvPr id="21" name="Right Brace 20">
          <a:extLst>
            <a:ext uri="{FF2B5EF4-FFF2-40B4-BE49-F238E27FC236}">
              <a16:creationId xmlns="" xmlns:a16="http://schemas.microsoft.com/office/drawing/2014/main" id="{00000000-0008-0000-0000-000015000000}"/>
            </a:ext>
          </a:extLst>
        </xdr:cNvPr>
        <xdr:cNvSpPr/>
      </xdr:nvSpPr>
      <xdr:spPr>
        <a:xfrm>
          <a:off x="12655549" y="37814250"/>
          <a:ext cx="174625" cy="106870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9</xdr:col>
      <xdr:colOff>19050</xdr:colOff>
      <xdr:row>215</xdr:row>
      <xdr:rowOff>123825</xdr:rowOff>
    </xdr:from>
    <xdr:to>
      <xdr:col>9</xdr:col>
      <xdr:colOff>133350</xdr:colOff>
      <xdr:row>231</xdr:row>
      <xdr:rowOff>76200</xdr:rowOff>
    </xdr:to>
    <xdr:sp macro="" textlink="">
      <xdr:nvSpPr>
        <xdr:cNvPr id="22" name="Right Brace 21">
          <a:extLst>
            <a:ext uri="{FF2B5EF4-FFF2-40B4-BE49-F238E27FC236}">
              <a16:creationId xmlns="" xmlns:a16="http://schemas.microsoft.com/office/drawing/2014/main" id="{00000000-0008-0000-0000-00001A000000}"/>
            </a:ext>
          </a:extLst>
        </xdr:cNvPr>
        <xdr:cNvSpPr/>
      </xdr:nvSpPr>
      <xdr:spPr>
        <a:xfrm>
          <a:off x="9791700" y="54768750"/>
          <a:ext cx="114300" cy="38957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10</xdr:col>
      <xdr:colOff>12700</xdr:colOff>
      <xdr:row>215</xdr:row>
      <xdr:rowOff>92075</xdr:rowOff>
    </xdr:from>
    <xdr:to>
      <xdr:col>10</xdr:col>
      <xdr:colOff>107950</xdr:colOff>
      <xdr:row>231</xdr:row>
      <xdr:rowOff>82550</xdr:rowOff>
    </xdr:to>
    <xdr:sp macro="" textlink="">
      <xdr:nvSpPr>
        <xdr:cNvPr id="23" name="Right Brace 22">
          <a:extLst>
            <a:ext uri="{FF2B5EF4-FFF2-40B4-BE49-F238E27FC236}">
              <a16:creationId xmlns="" xmlns:a16="http://schemas.microsoft.com/office/drawing/2014/main" id="{00000000-0008-0000-0000-00001B000000}"/>
            </a:ext>
          </a:extLst>
        </xdr:cNvPr>
        <xdr:cNvSpPr/>
      </xdr:nvSpPr>
      <xdr:spPr>
        <a:xfrm>
          <a:off x="10804525" y="54737000"/>
          <a:ext cx="95250" cy="39338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11</xdr:col>
      <xdr:colOff>19050</xdr:colOff>
      <xdr:row>215</xdr:row>
      <xdr:rowOff>114300</xdr:rowOff>
    </xdr:from>
    <xdr:to>
      <xdr:col>11</xdr:col>
      <xdr:colOff>139699</xdr:colOff>
      <xdr:row>231</xdr:row>
      <xdr:rowOff>107950</xdr:rowOff>
    </xdr:to>
    <xdr:sp macro="" textlink="">
      <xdr:nvSpPr>
        <xdr:cNvPr id="24" name="Right Brace 23">
          <a:extLst>
            <a:ext uri="{FF2B5EF4-FFF2-40B4-BE49-F238E27FC236}">
              <a16:creationId xmlns="" xmlns:a16="http://schemas.microsoft.com/office/drawing/2014/main" id="{00000000-0008-0000-0000-00001C000000}"/>
            </a:ext>
          </a:extLst>
        </xdr:cNvPr>
        <xdr:cNvSpPr/>
      </xdr:nvSpPr>
      <xdr:spPr>
        <a:xfrm>
          <a:off x="11744325" y="54759225"/>
          <a:ext cx="120649" cy="39370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12</xdr:col>
      <xdr:colOff>12700</xdr:colOff>
      <xdr:row>215</xdr:row>
      <xdr:rowOff>123825</xdr:rowOff>
    </xdr:from>
    <xdr:to>
      <xdr:col>12</xdr:col>
      <xdr:colOff>114299</xdr:colOff>
      <xdr:row>231</xdr:row>
      <xdr:rowOff>101600</xdr:rowOff>
    </xdr:to>
    <xdr:sp macro="" textlink="">
      <xdr:nvSpPr>
        <xdr:cNvPr id="25" name="Right Brace 24">
          <a:extLst>
            <a:ext uri="{FF2B5EF4-FFF2-40B4-BE49-F238E27FC236}">
              <a16:creationId xmlns="" xmlns:a16="http://schemas.microsoft.com/office/drawing/2014/main" id="{00000000-0008-0000-0000-00001D000000}"/>
            </a:ext>
          </a:extLst>
        </xdr:cNvPr>
        <xdr:cNvSpPr/>
      </xdr:nvSpPr>
      <xdr:spPr>
        <a:xfrm>
          <a:off x="12652375" y="54768750"/>
          <a:ext cx="101599" cy="39211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9</xdr:col>
      <xdr:colOff>19050</xdr:colOff>
      <xdr:row>260</xdr:row>
      <xdr:rowOff>123825</xdr:rowOff>
    </xdr:from>
    <xdr:to>
      <xdr:col>9</xdr:col>
      <xdr:colOff>133350</xdr:colOff>
      <xdr:row>275</xdr:row>
      <xdr:rowOff>76200</xdr:rowOff>
    </xdr:to>
    <xdr:sp macro="" textlink="">
      <xdr:nvSpPr>
        <xdr:cNvPr id="26" name="Right Brace 25">
          <a:extLst>
            <a:ext uri="{FF2B5EF4-FFF2-40B4-BE49-F238E27FC236}">
              <a16:creationId xmlns="" xmlns:a16="http://schemas.microsoft.com/office/drawing/2014/main" id="{00000000-0008-0000-0000-00001E000000}"/>
            </a:ext>
          </a:extLst>
        </xdr:cNvPr>
        <xdr:cNvSpPr/>
      </xdr:nvSpPr>
      <xdr:spPr>
        <a:xfrm>
          <a:off x="9791700" y="64065150"/>
          <a:ext cx="114300" cy="44386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10</xdr:col>
      <xdr:colOff>12700</xdr:colOff>
      <xdr:row>260</xdr:row>
      <xdr:rowOff>92075</xdr:rowOff>
    </xdr:from>
    <xdr:to>
      <xdr:col>10</xdr:col>
      <xdr:colOff>107950</xdr:colOff>
      <xdr:row>275</xdr:row>
      <xdr:rowOff>82550</xdr:rowOff>
    </xdr:to>
    <xdr:sp macro="" textlink="">
      <xdr:nvSpPr>
        <xdr:cNvPr id="27" name="Right Brace 26">
          <a:extLst>
            <a:ext uri="{FF2B5EF4-FFF2-40B4-BE49-F238E27FC236}">
              <a16:creationId xmlns="" xmlns:a16="http://schemas.microsoft.com/office/drawing/2014/main" id="{00000000-0008-0000-0000-00001F000000}"/>
            </a:ext>
          </a:extLst>
        </xdr:cNvPr>
        <xdr:cNvSpPr/>
      </xdr:nvSpPr>
      <xdr:spPr>
        <a:xfrm>
          <a:off x="10804525" y="64033400"/>
          <a:ext cx="95250" cy="44767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11</xdr:col>
      <xdr:colOff>19050</xdr:colOff>
      <xdr:row>260</xdr:row>
      <xdr:rowOff>114300</xdr:rowOff>
    </xdr:from>
    <xdr:to>
      <xdr:col>11</xdr:col>
      <xdr:colOff>139699</xdr:colOff>
      <xdr:row>275</xdr:row>
      <xdr:rowOff>107950</xdr:rowOff>
    </xdr:to>
    <xdr:sp macro="" textlink="">
      <xdr:nvSpPr>
        <xdr:cNvPr id="28" name="Right Brace 27">
          <a:extLst>
            <a:ext uri="{FF2B5EF4-FFF2-40B4-BE49-F238E27FC236}">
              <a16:creationId xmlns="" xmlns:a16="http://schemas.microsoft.com/office/drawing/2014/main" id="{00000000-0008-0000-0000-000020000000}"/>
            </a:ext>
          </a:extLst>
        </xdr:cNvPr>
        <xdr:cNvSpPr/>
      </xdr:nvSpPr>
      <xdr:spPr>
        <a:xfrm>
          <a:off x="11744325" y="64055625"/>
          <a:ext cx="120649" cy="44799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12</xdr:col>
      <xdr:colOff>12700</xdr:colOff>
      <xdr:row>260</xdr:row>
      <xdr:rowOff>123825</xdr:rowOff>
    </xdr:from>
    <xdr:to>
      <xdr:col>12</xdr:col>
      <xdr:colOff>114299</xdr:colOff>
      <xdr:row>275</xdr:row>
      <xdr:rowOff>101600</xdr:rowOff>
    </xdr:to>
    <xdr:sp macro="" textlink="">
      <xdr:nvSpPr>
        <xdr:cNvPr id="29" name="Right Brace 28">
          <a:extLst>
            <a:ext uri="{FF2B5EF4-FFF2-40B4-BE49-F238E27FC236}">
              <a16:creationId xmlns="" xmlns:a16="http://schemas.microsoft.com/office/drawing/2014/main" id="{00000000-0008-0000-0000-000021000000}"/>
            </a:ext>
          </a:extLst>
        </xdr:cNvPr>
        <xdr:cNvSpPr/>
      </xdr:nvSpPr>
      <xdr:spPr>
        <a:xfrm>
          <a:off x="12652375" y="64065150"/>
          <a:ext cx="101599" cy="44640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9</xdr:col>
      <xdr:colOff>19050</xdr:colOff>
      <xdr:row>301</xdr:row>
      <xdr:rowOff>123825</xdr:rowOff>
    </xdr:from>
    <xdr:to>
      <xdr:col>9</xdr:col>
      <xdr:colOff>133350</xdr:colOff>
      <xdr:row>317</xdr:row>
      <xdr:rowOff>76200</xdr:rowOff>
    </xdr:to>
    <xdr:sp macro="" textlink="">
      <xdr:nvSpPr>
        <xdr:cNvPr id="30" name="Right Brace 29">
          <a:extLst>
            <a:ext uri="{FF2B5EF4-FFF2-40B4-BE49-F238E27FC236}">
              <a16:creationId xmlns="" xmlns:a16="http://schemas.microsoft.com/office/drawing/2014/main" id="{00000000-0008-0000-0000-000022000000}"/>
            </a:ext>
          </a:extLst>
        </xdr:cNvPr>
        <xdr:cNvSpPr/>
      </xdr:nvSpPr>
      <xdr:spPr>
        <a:xfrm>
          <a:off x="9791700" y="72980550"/>
          <a:ext cx="114300" cy="36861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10</xdr:col>
      <xdr:colOff>12700</xdr:colOff>
      <xdr:row>301</xdr:row>
      <xdr:rowOff>92075</xdr:rowOff>
    </xdr:from>
    <xdr:to>
      <xdr:col>10</xdr:col>
      <xdr:colOff>107950</xdr:colOff>
      <xdr:row>317</xdr:row>
      <xdr:rowOff>82550</xdr:rowOff>
    </xdr:to>
    <xdr:sp macro="" textlink="">
      <xdr:nvSpPr>
        <xdr:cNvPr id="31" name="Right Brace 30">
          <a:extLst>
            <a:ext uri="{FF2B5EF4-FFF2-40B4-BE49-F238E27FC236}">
              <a16:creationId xmlns="" xmlns:a16="http://schemas.microsoft.com/office/drawing/2014/main" id="{00000000-0008-0000-0000-000023000000}"/>
            </a:ext>
          </a:extLst>
        </xdr:cNvPr>
        <xdr:cNvSpPr/>
      </xdr:nvSpPr>
      <xdr:spPr>
        <a:xfrm>
          <a:off x="10804525" y="72948800"/>
          <a:ext cx="95250" cy="37242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11</xdr:col>
      <xdr:colOff>19050</xdr:colOff>
      <xdr:row>301</xdr:row>
      <xdr:rowOff>114300</xdr:rowOff>
    </xdr:from>
    <xdr:to>
      <xdr:col>11</xdr:col>
      <xdr:colOff>139699</xdr:colOff>
      <xdr:row>317</xdr:row>
      <xdr:rowOff>107950</xdr:rowOff>
    </xdr:to>
    <xdr:sp macro="" textlink="">
      <xdr:nvSpPr>
        <xdr:cNvPr id="32" name="Right Brace 31">
          <a:extLst>
            <a:ext uri="{FF2B5EF4-FFF2-40B4-BE49-F238E27FC236}">
              <a16:creationId xmlns="" xmlns:a16="http://schemas.microsoft.com/office/drawing/2014/main" id="{00000000-0008-0000-0000-000024000000}"/>
            </a:ext>
          </a:extLst>
        </xdr:cNvPr>
        <xdr:cNvSpPr/>
      </xdr:nvSpPr>
      <xdr:spPr>
        <a:xfrm>
          <a:off x="11744325" y="72971025"/>
          <a:ext cx="120649" cy="37274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12</xdr:col>
      <xdr:colOff>12700</xdr:colOff>
      <xdr:row>301</xdr:row>
      <xdr:rowOff>123825</xdr:rowOff>
    </xdr:from>
    <xdr:to>
      <xdr:col>12</xdr:col>
      <xdr:colOff>114299</xdr:colOff>
      <xdr:row>317</xdr:row>
      <xdr:rowOff>101600</xdr:rowOff>
    </xdr:to>
    <xdr:sp macro="" textlink="">
      <xdr:nvSpPr>
        <xdr:cNvPr id="33" name="Right Brace 32">
          <a:extLst>
            <a:ext uri="{FF2B5EF4-FFF2-40B4-BE49-F238E27FC236}">
              <a16:creationId xmlns="" xmlns:a16="http://schemas.microsoft.com/office/drawing/2014/main" id="{00000000-0008-0000-0000-000025000000}"/>
            </a:ext>
          </a:extLst>
        </xdr:cNvPr>
        <xdr:cNvSpPr/>
      </xdr:nvSpPr>
      <xdr:spPr>
        <a:xfrm>
          <a:off x="12652375" y="72980550"/>
          <a:ext cx="101599" cy="37115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9</xdr:col>
      <xdr:colOff>19050</xdr:colOff>
      <xdr:row>344</xdr:row>
      <xdr:rowOff>123825</xdr:rowOff>
    </xdr:from>
    <xdr:to>
      <xdr:col>9</xdr:col>
      <xdr:colOff>133350</xdr:colOff>
      <xdr:row>358</xdr:row>
      <xdr:rowOff>76200</xdr:rowOff>
    </xdr:to>
    <xdr:sp macro="" textlink="">
      <xdr:nvSpPr>
        <xdr:cNvPr id="34" name="Right Brace 33">
          <a:extLst>
            <a:ext uri="{FF2B5EF4-FFF2-40B4-BE49-F238E27FC236}">
              <a16:creationId xmlns="" xmlns:a16="http://schemas.microsoft.com/office/drawing/2014/main" id="{00000000-0008-0000-0000-000026000000}"/>
            </a:ext>
          </a:extLst>
        </xdr:cNvPr>
        <xdr:cNvSpPr/>
      </xdr:nvSpPr>
      <xdr:spPr>
        <a:xfrm>
          <a:off x="9791700" y="81638775"/>
          <a:ext cx="114300" cy="36004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10</xdr:col>
      <xdr:colOff>12700</xdr:colOff>
      <xdr:row>344</xdr:row>
      <xdr:rowOff>92075</xdr:rowOff>
    </xdr:from>
    <xdr:to>
      <xdr:col>10</xdr:col>
      <xdr:colOff>107950</xdr:colOff>
      <xdr:row>358</xdr:row>
      <xdr:rowOff>82550</xdr:rowOff>
    </xdr:to>
    <xdr:sp macro="" textlink="">
      <xdr:nvSpPr>
        <xdr:cNvPr id="35" name="Right Brace 34">
          <a:extLst>
            <a:ext uri="{FF2B5EF4-FFF2-40B4-BE49-F238E27FC236}">
              <a16:creationId xmlns="" xmlns:a16="http://schemas.microsoft.com/office/drawing/2014/main" id="{00000000-0008-0000-0000-000027000000}"/>
            </a:ext>
          </a:extLst>
        </xdr:cNvPr>
        <xdr:cNvSpPr/>
      </xdr:nvSpPr>
      <xdr:spPr>
        <a:xfrm>
          <a:off x="10804525" y="81607025"/>
          <a:ext cx="95250" cy="36385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11</xdr:col>
      <xdr:colOff>19050</xdr:colOff>
      <xdr:row>344</xdr:row>
      <xdr:rowOff>114300</xdr:rowOff>
    </xdr:from>
    <xdr:to>
      <xdr:col>11</xdr:col>
      <xdr:colOff>139699</xdr:colOff>
      <xdr:row>358</xdr:row>
      <xdr:rowOff>107950</xdr:rowOff>
    </xdr:to>
    <xdr:sp macro="" textlink="">
      <xdr:nvSpPr>
        <xdr:cNvPr id="36" name="Right Brace 35">
          <a:extLst>
            <a:ext uri="{FF2B5EF4-FFF2-40B4-BE49-F238E27FC236}">
              <a16:creationId xmlns="" xmlns:a16="http://schemas.microsoft.com/office/drawing/2014/main" id="{00000000-0008-0000-0000-000028000000}"/>
            </a:ext>
          </a:extLst>
        </xdr:cNvPr>
        <xdr:cNvSpPr/>
      </xdr:nvSpPr>
      <xdr:spPr>
        <a:xfrm>
          <a:off x="11744325" y="81629250"/>
          <a:ext cx="120649" cy="36417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12</xdr:col>
      <xdr:colOff>12700</xdr:colOff>
      <xdr:row>344</xdr:row>
      <xdr:rowOff>123825</xdr:rowOff>
    </xdr:from>
    <xdr:to>
      <xdr:col>12</xdr:col>
      <xdr:colOff>114299</xdr:colOff>
      <xdr:row>358</xdr:row>
      <xdr:rowOff>101600</xdr:rowOff>
    </xdr:to>
    <xdr:sp macro="" textlink="">
      <xdr:nvSpPr>
        <xdr:cNvPr id="37" name="Right Brace 36">
          <a:extLst>
            <a:ext uri="{FF2B5EF4-FFF2-40B4-BE49-F238E27FC236}">
              <a16:creationId xmlns="" xmlns:a16="http://schemas.microsoft.com/office/drawing/2014/main" id="{00000000-0008-0000-0000-000029000000}"/>
            </a:ext>
          </a:extLst>
        </xdr:cNvPr>
        <xdr:cNvSpPr/>
      </xdr:nvSpPr>
      <xdr:spPr>
        <a:xfrm>
          <a:off x="12652375" y="81638775"/>
          <a:ext cx="101599" cy="36258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9</xdr:col>
      <xdr:colOff>85725</xdr:colOff>
      <xdr:row>393</xdr:row>
      <xdr:rowOff>38100</xdr:rowOff>
    </xdr:from>
    <xdr:to>
      <xdr:col>9</xdr:col>
      <xdr:colOff>333375</xdr:colOff>
      <xdr:row>413</xdr:row>
      <xdr:rowOff>1028700</xdr:rowOff>
    </xdr:to>
    <xdr:sp macro="" textlink="">
      <xdr:nvSpPr>
        <xdr:cNvPr id="38" name="Right Brace 37">
          <a:extLst>
            <a:ext uri="{FF2B5EF4-FFF2-40B4-BE49-F238E27FC236}">
              <a16:creationId xmlns="" xmlns:a16="http://schemas.microsoft.com/office/drawing/2014/main" id="{00000000-0008-0000-0000-00002A000000}"/>
            </a:ext>
          </a:extLst>
        </xdr:cNvPr>
        <xdr:cNvSpPr/>
      </xdr:nvSpPr>
      <xdr:spPr>
        <a:xfrm>
          <a:off x="9858375" y="91297125"/>
          <a:ext cx="247650" cy="24079200"/>
        </a:xfrm>
        <a:prstGeom prst="rightBrace">
          <a:avLst>
            <a:gd name="adj1" fmla="val 8333"/>
            <a:gd name="adj2" fmla="val 5014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12698</xdr:colOff>
      <xdr:row>469</xdr:row>
      <xdr:rowOff>25400</xdr:rowOff>
    </xdr:from>
    <xdr:to>
      <xdr:col>9</xdr:col>
      <xdr:colOff>238125</xdr:colOff>
      <xdr:row>495</xdr:row>
      <xdr:rowOff>466725</xdr:rowOff>
    </xdr:to>
    <xdr:sp macro="" textlink="">
      <xdr:nvSpPr>
        <xdr:cNvPr id="42" name="Right Brace 41">
          <a:extLst>
            <a:ext uri="{FF2B5EF4-FFF2-40B4-BE49-F238E27FC236}">
              <a16:creationId xmlns="" xmlns:a16="http://schemas.microsoft.com/office/drawing/2014/main" id="{00000000-0008-0000-0000-00002E000000}"/>
            </a:ext>
          </a:extLst>
        </xdr:cNvPr>
        <xdr:cNvSpPr/>
      </xdr:nvSpPr>
      <xdr:spPr>
        <a:xfrm>
          <a:off x="9785348" y="111486950"/>
          <a:ext cx="225427" cy="14414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12700</xdr:colOff>
      <xdr:row>469</xdr:row>
      <xdr:rowOff>31750</xdr:rowOff>
    </xdr:from>
    <xdr:to>
      <xdr:col>10</xdr:col>
      <xdr:colOff>161925</xdr:colOff>
      <xdr:row>496</xdr:row>
      <xdr:rowOff>9525</xdr:rowOff>
    </xdr:to>
    <xdr:sp macro="" textlink="">
      <xdr:nvSpPr>
        <xdr:cNvPr id="43" name="Right Brace 42">
          <a:extLst>
            <a:ext uri="{FF2B5EF4-FFF2-40B4-BE49-F238E27FC236}">
              <a16:creationId xmlns="" xmlns:a16="http://schemas.microsoft.com/office/drawing/2014/main" id="{00000000-0008-0000-0000-00002F000000}"/>
            </a:ext>
          </a:extLst>
        </xdr:cNvPr>
        <xdr:cNvSpPr/>
      </xdr:nvSpPr>
      <xdr:spPr>
        <a:xfrm>
          <a:off x="10804525" y="111493300"/>
          <a:ext cx="149225" cy="144272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1</xdr:colOff>
      <xdr:row>469</xdr:row>
      <xdr:rowOff>28575</xdr:rowOff>
    </xdr:from>
    <xdr:to>
      <xdr:col>11</xdr:col>
      <xdr:colOff>171451</xdr:colOff>
      <xdr:row>496</xdr:row>
      <xdr:rowOff>9524</xdr:rowOff>
    </xdr:to>
    <xdr:sp macro="" textlink="">
      <xdr:nvSpPr>
        <xdr:cNvPr id="44" name="Right Brace 43">
          <a:extLst>
            <a:ext uri="{FF2B5EF4-FFF2-40B4-BE49-F238E27FC236}">
              <a16:creationId xmlns="" xmlns:a16="http://schemas.microsoft.com/office/drawing/2014/main" id="{00000000-0008-0000-0000-000030000000}"/>
            </a:ext>
          </a:extLst>
        </xdr:cNvPr>
        <xdr:cNvSpPr/>
      </xdr:nvSpPr>
      <xdr:spPr>
        <a:xfrm>
          <a:off x="11725276" y="111490125"/>
          <a:ext cx="171450" cy="14430374"/>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1906</xdr:colOff>
      <xdr:row>557</xdr:row>
      <xdr:rowOff>28575</xdr:rowOff>
    </xdr:from>
    <xdr:to>
      <xdr:col>9</xdr:col>
      <xdr:colOff>114300</xdr:colOff>
      <xdr:row>587</xdr:row>
      <xdr:rowOff>409575</xdr:rowOff>
    </xdr:to>
    <xdr:sp macro="" textlink="">
      <xdr:nvSpPr>
        <xdr:cNvPr id="45" name="Right Brace 44">
          <a:extLst>
            <a:ext uri="{FF2B5EF4-FFF2-40B4-BE49-F238E27FC236}">
              <a16:creationId xmlns="" xmlns:a16="http://schemas.microsoft.com/office/drawing/2014/main" id="{00000000-0008-0000-0000-000032000000}"/>
            </a:ext>
          </a:extLst>
        </xdr:cNvPr>
        <xdr:cNvSpPr/>
      </xdr:nvSpPr>
      <xdr:spPr>
        <a:xfrm>
          <a:off x="9774556" y="137064750"/>
          <a:ext cx="112394" cy="128587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0</xdr:colOff>
      <xdr:row>557</xdr:row>
      <xdr:rowOff>0</xdr:rowOff>
    </xdr:from>
    <xdr:to>
      <xdr:col>10</xdr:col>
      <xdr:colOff>112394</xdr:colOff>
      <xdr:row>587</xdr:row>
      <xdr:rowOff>381000</xdr:rowOff>
    </xdr:to>
    <xdr:sp macro="" textlink="">
      <xdr:nvSpPr>
        <xdr:cNvPr id="46" name="Right Brace 45">
          <a:extLst>
            <a:ext uri="{FF2B5EF4-FFF2-40B4-BE49-F238E27FC236}">
              <a16:creationId xmlns="" xmlns:a16="http://schemas.microsoft.com/office/drawing/2014/main" id="{00000000-0008-0000-0000-000033000000}"/>
            </a:ext>
          </a:extLst>
        </xdr:cNvPr>
        <xdr:cNvSpPr/>
      </xdr:nvSpPr>
      <xdr:spPr>
        <a:xfrm>
          <a:off x="10791825" y="137036175"/>
          <a:ext cx="112394" cy="128587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0</xdr:colOff>
      <xdr:row>557</xdr:row>
      <xdr:rowOff>0</xdr:rowOff>
    </xdr:from>
    <xdr:to>
      <xdr:col>11</xdr:col>
      <xdr:colOff>112394</xdr:colOff>
      <xdr:row>587</xdr:row>
      <xdr:rowOff>381000</xdr:rowOff>
    </xdr:to>
    <xdr:sp macro="" textlink="">
      <xdr:nvSpPr>
        <xdr:cNvPr id="47" name="Right Brace 46">
          <a:extLst>
            <a:ext uri="{FF2B5EF4-FFF2-40B4-BE49-F238E27FC236}">
              <a16:creationId xmlns="" xmlns:a16="http://schemas.microsoft.com/office/drawing/2014/main" id="{00000000-0008-0000-0000-000034000000}"/>
            </a:ext>
          </a:extLst>
        </xdr:cNvPr>
        <xdr:cNvSpPr/>
      </xdr:nvSpPr>
      <xdr:spPr>
        <a:xfrm>
          <a:off x="11725275" y="137036175"/>
          <a:ext cx="112394" cy="128587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904875</xdr:colOff>
      <xdr:row>557</xdr:row>
      <xdr:rowOff>0</xdr:rowOff>
    </xdr:from>
    <xdr:to>
      <xdr:col>12</xdr:col>
      <xdr:colOff>102869</xdr:colOff>
      <xdr:row>587</xdr:row>
      <xdr:rowOff>381000</xdr:rowOff>
    </xdr:to>
    <xdr:sp macro="" textlink="">
      <xdr:nvSpPr>
        <xdr:cNvPr id="48" name="Right Brace 47">
          <a:extLst>
            <a:ext uri="{FF2B5EF4-FFF2-40B4-BE49-F238E27FC236}">
              <a16:creationId xmlns="" xmlns:a16="http://schemas.microsoft.com/office/drawing/2014/main" id="{00000000-0008-0000-0000-000035000000}"/>
            </a:ext>
          </a:extLst>
        </xdr:cNvPr>
        <xdr:cNvSpPr/>
      </xdr:nvSpPr>
      <xdr:spPr>
        <a:xfrm>
          <a:off x="12630150" y="137036175"/>
          <a:ext cx="112394" cy="128587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914399</xdr:colOff>
      <xdr:row>469</xdr:row>
      <xdr:rowOff>0</xdr:rowOff>
    </xdr:from>
    <xdr:to>
      <xdr:col>12</xdr:col>
      <xdr:colOff>228600</xdr:colOff>
      <xdr:row>495</xdr:row>
      <xdr:rowOff>466725</xdr:rowOff>
    </xdr:to>
    <xdr:sp macro="" textlink="">
      <xdr:nvSpPr>
        <xdr:cNvPr id="49" name="Right Brace 48">
          <a:extLst>
            <a:ext uri="{FF2B5EF4-FFF2-40B4-BE49-F238E27FC236}">
              <a16:creationId xmlns="" xmlns:a16="http://schemas.microsoft.com/office/drawing/2014/main" id="{00000000-0008-0000-0000-000036000000}"/>
            </a:ext>
          </a:extLst>
        </xdr:cNvPr>
        <xdr:cNvSpPr/>
      </xdr:nvSpPr>
      <xdr:spPr>
        <a:xfrm>
          <a:off x="12639674" y="111461550"/>
          <a:ext cx="228601" cy="144399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19049</xdr:colOff>
      <xdr:row>614</xdr:row>
      <xdr:rowOff>76200</xdr:rowOff>
    </xdr:from>
    <xdr:to>
      <xdr:col>9</xdr:col>
      <xdr:colOff>152400</xdr:colOff>
      <xdr:row>675</xdr:row>
      <xdr:rowOff>9524</xdr:rowOff>
    </xdr:to>
    <xdr:sp macro="" textlink="">
      <xdr:nvSpPr>
        <xdr:cNvPr id="50" name="Right Brace 49">
          <a:extLst>
            <a:ext uri="{FF2B5EF4-FFF2-40B4-BE49-F238E27FC236}">
              <a16:creationId xmlns="" xmlns:a16="http://schemas.microsoft.com/office/drawing/2014/main" id="{00000000-0008-0000-0000-000037000000}"/>
            </a:ext>
          </a:extLst>
        </xdr:cNvPr>
        <xdr:cNvSpPr/>
      </xdr:nvSpPr>
      <xdr:spPr>
        <a:xfrm>
          <a:off x="9791699" y="154933650"/>
          <a:ext cx="133351" cy="9725024"/>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10</xdr:col>
      <xdr:colOff>12700</xdr:colOff>
      <xdr:row>614</xdr:row>
      <xdr:rowOff>63500</xdr:rowOff>
    </xdr:from>
    <xdr:to>
      <xdr:col>10</xdr:col>
      <xdr:colOff>180975</xdr:colOff>
      <xdr:row>674</xdr:row>
      <xdr:rowOff>457200</xdr:rowOff>
    </xdr:to>
    <xdr:sp macro="" textlink="">
      <xdr:nvSpPr>
        <xdr:cNvPr id="51" name="Right Brace 50">
          <a:extLst>
            <a:ext uri="{FF2B5EF4-FFF2-40B4-BE49-F238E27FC236}">
              <a16:creationId xmlns="" xmlns:a16="http://schemas.microsoft.com/office/drawing/2014/main" id="{00000000-0008-0000-0000-000038000000}"/>
            </a:ext>
          </a:extLst>
        </xdr:cNvPr>
        <xdr:cNvSpPr/>
      </xdr:nvSpPr>
      <xdr:spPr>
        <a:xfrm>
          <a:off x="10804525" y="154920950"/>
          <a:ext cx="168275" cy="97186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11</xdr:col>
      <xdr:colOff>19051</xdr:colOff>
      <xdr:row>614</xdr:row>
      <xdr:rowOff>85724</xdr:rowOff>
    </xdr:from>
    <xdr:to>
      <xdr:col>11</xdr:col>
      <xdr:colOff>190501</xdr:colOff>
      <xdr:row>674</xdr:row>
      <xdr:rowOff>457199</xdr:rowOff>
    </xdr:to>
    <xdr:sp macro="" textlink="">
      <xdr:nvSpPr>
        <xdr:cNvPr id="52" name="Right Brace 51">
          <a:extLst>
            <a:ext uri="{FF2B5EF4-FFF2-40B4-BE49-F238E27FC236}">
              <a16:creationId xmlns="" xmlns:a16="http://schemas.microsoft.com/office/drawing/2014/main" id="{00000000-0008-0000-0000-000039000000}"/>
            </a:ext>
          </a:extLst>
        </xdr:cNvPr>
        <xdr:cNvSpPr/>
      </xdr:nvSpPr>
      <xdr:spPr>
        <a:xfrm>
          <a:off x="11744326" y="154943174"/>
          <a:ext cx="171450" cy="96964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12</xdr:col>
      <xdr:colOff>12700</xdr:colOff>
      <xdr:row>614</xdr:row>
      <xdr:rowOff>95250</xdr:rowOff>
    </xdr:from>
    <xdr:to>
      <xdr:col>12</xdr:col>
      <xdr:colOff>161925</xdr:colOff>
      <xdr:row>675</xdr:row>
      <xdr:rowOff>0</xdr:rowOff>
    </xdr:to>
    <xdr:sp macro="" textlink="">
      <xdr:nvSpPr>
        <xdr:cNvPr id="53" name="Right Brace 52">
          <a:extLst>
            <a:ext uri="{FF2B5EF4-FFF2-40B4-BE49-F238E27FC236}">
              <a16:creationId xmlns="" xmlns:a16="http://schemas.microsoft.com/office/drawing/2014/main" id="{00000000-0008-0000-0000-00003A000000}"/>
            </a:ext>
          </a:extLst>
        </xdr:cNvPr>
        <xdr:cNvSpPr/>
      </xdr:nvSpPr>
      <xdr:spPr>
        <a:xfrm>
          <a:off x="12652375" y="154952700"/>
          <a:ext cx="149225" cy="96964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9</xdr:col>
      <xdr:colOff>19050</xdr:colOff>
      <xdr:row>719</xdr:row>
      <xdr:rowOff>76200</xdr:rowOff>
    </xdr:from>
    <xdr:to>
      <xdr:col>9</xdr:col>
      <xdr:colOff>133350</xdr:colOff>
      <xdr:row>740</xdr:row>
      <xdr:rowOff>228600</xdr:rowOff>
    </xdr:to>
    <xdr:sp macro="" textlink="">
      <xdr:nvSpPr>
        <xdr:cNvPr id="54" name="Right Brace 53">
          <a:extLst>
            <a:ext uri="{FF2B5EF4-FFF2-40B4-BE49-F238E27FC236}">
              <a16:creationId xmlns="" xmlns:a16="http://schemas.microsoft.com/office/drawing/2014/main" id="{00000000-0008-0000-0000-00003B000000}"/>
            </a:ext>
          </a:extLst>
        </xdr:cNvPr>
        <xdr:cNvSpPr/>
      </xdr:nvSpPr>
      <xdr:spPr>
        <a:xfrm>
          <a:off x="9791700" y="173116875"/>
          <a:ext cx="114300" cy="59340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10</xdr:col>
      <xdr:colOff>0</xdr:colOff>
      <xdr:row>719</xdr:row>
      <xdr:rowOff>57150</xdr:rowOff>
    </xdr:from>
    <xdr:to>
      <xdr:col>10</xdr:col>
      <xdr:colOff>114300</xdr:colOff>
      <xdr:row>740</xdr:row>
      <xdr:rowOff>209550</xdr:rowOff>
    </xdr:to>
    <xdr:sp macro="" textlink="">
      <xdr:nvSpPr>
        <xdr:cNvPr id="55" name="Right Brace 54">
          <a:extLst>
            <a:ext uri="{FF2B5EF4-FFF2-40B4-BE49-F238E27FC236}">
              <a16:creationId xmlns="" xmlns:a16="http://schemas.microsoft.com/office/drawing/2014/main" id="{00000000-0008-0000-0000-00003C000000}"/>
            </a:ext>
          </a:extLst>
        </xdr:cNvPr>
        <xdr:cNvSpPr/>
      </xdr:nvSpPr>
      <xdr:spPr>
        <a:xfrm>
          <a:off x="10791825" y="173097825"/>
          <a:ext cx="114300" cy="59436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11</xdr:col>
      <xdr:colOff>0</xdr:colOff>
      <xdr:row>719</xdr:row>
      <xdr:rowOff>57150</xdr:rowOff>
    </xdr:from>
    <xdr:to>
      <xdr:col>11</xdr:col>
      <xdr:colOff>114300</xdr:colOff>
      <xdr:row>740</xdr:row>
      <xdr:rowOff>209550</xdr:rowOff>
    </xdr:to>
    <xdr:sp macro="" textlink="">
      <xdr:nvSpPr>
        <xdr:cNvPr id="56" name="Right Brace 55">
          <a:extLst>
            <a:ext uri="{FF2B5EF4-FFF2-40B4-BE49-F238E27FC236}">
              <a16:creationId xmlns="" xmlns:a16="http://schemas.microsoft.com/office/drawing/2014/main" id="{00000000-0008-0000-0000-00003D000000}"/>
            </a:ext>
          </a:extLst>
        </xdr:cNvPr>
        <xdr:cNvSpPr/>
      </xdr:nvSpPr>
      <xdr:spPr>
        <a:xfrm>
          <a:off x="11725275" y="173097825"/>
          <a:ext cx="114300" cy="59436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12</xdr:col>
      <xdr:colOff>0</xdr:colOff>
      <xdr:row>719</xdr:row>
      <xdr:rowOff>76200</xdr:rowOff>
    </xdr:from>
    <xdr:to>
      <xdr:col>12</xdr:col>
      <xdr:colOff>114300</xdr:colOff>
      <xdr:row>740</xdr:row>
      <xdr:rowOff>228600</xdr:rowOff>
    </xdr:to>
    <xdr:sp macro="" textlink="">
      <xdr:nvSpPr>
        <xdr:cNvPr id="57" name="Right Brace 56">
          <a:extLst>
            <a:ext uri="{FF2B5EF4-FFF2-40B4-BE49-F238E27FC236}">
              <a16:creationId xmlns="" xmlns:a16="http://schemas.microsoft.com/office/drawing/2014/main" id="{00000000-0008-0000-0000-00003E000000}"/>
            </a:ext>
          </a:extLst>
        </xdr:cNvPr>
        <xdr:cNvSpPr/>
      </xdr:nvSpPr>
      <xdr:spPr>
        <a:xfrm>
          <a:off x="12639675" y="173116875"/>
          <a:ext cx="114300" cy="59340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9</xdr:col>
      <xdr:colOff>28575</xdr:colOff>
      <xdr:row>93</xdr:row>
      <xdr:rowOff>38100</xdr:rowOff>
    </xdr:from>
    <xdr:to>
      <xdr:col>9</xdr:col>
      <xdr:colOff>139700</xdr:colOff>
      <xdr:row>100</xdr:row>
      <xdr:rowOff>930275</xdr:rowOff>
    </xdr:to>
    <xdr:sp macro="" textlink="">
      <xdr:nvSpPr>
        <xdr:cNvPr id="58" name="Right Brace 57">
          <a:extLst>
            <a:ext uri="{FF2B5EF4-FFF2-40B4-BE49-F238E27FC236}">
              <a16:creationId xmlns="" xmlns:a16="http://schemas.microsoft.com/office/drawing/2014/main" id="{00000000-0008-0000-0000-00000B000000}"/>
            </a:ext>
          </a:extLst>
        </xdr:cNvPr>
        <xdr:cNvSpPr/>
      </xdr:nvSpPr>
      <xdr:spPr>
        <a:xfrm>
          <a:off x="9801225" y="19497675"/>
          <a:ext cx="111125" cy="38354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28575</xdr:colOff>
      <xdr:row>93</xdr:row>
      <xdr:rowOff>9525</xdr:rowOff>
    </xdr:from>
    <xdr:to>
      <xdr:col>12</xdr:col>
      <xdr:colOff>142874</xdr:colOff>
      <xdr:row>100</xdr:row>
      <xdr:rowOff>942976</xdr:rowOff>
    </xdr:to>
    <xdr:sp macro="" textlink="">
      <xdr:nvSpPr>
        <xdr:cNvPr id="59" name="Right Brace 58">
          <a:extLst>
            <a:ext uri="{FF2B5EF4-FFF2-40B4-BE49-F238E27FC236}">
              <a16:creationId xmlns="" xmlns:a16="http://schemas.microsoft.com/office/drawing/2014/main" id="{00000000-0008-0000-0000-00000C000000}"/>
            </a:ext>
          </a:extLst>
        </xdr:cNvPr>
        <xdr:cNvSpPr/>
      </xdr:nvSpPr>
      <xdr:spPr>
        <a:xfrm>
          <a:off x="12668250" y="19469100"/>
          <a:ext cx="114299" cy="387667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962025</xdr:colOff>
      <xdr:row>393</xdr:row>
      <xdr:rowOff>38100</xdr:rowOff>
    </xdr:from>
    <xdr:to>
      <xdr:col>10</xdr:col>
      <xdr:colOff>190500</xdr:colOff>
      <xdr:row>413</xdr:row>
      <xdr:rowOff>1028700</xdr:rowOff>
    </xdr:to>
    <xdr:sp macro="" textlink="">
      <xdr:nvSpPr>
        <xdr:cNvPr id="61" name="Right Brace 60">
          <a:extLst>
            <a:ext uri="{FF2B5EF4-FFF2-40B4-BE49-F238E27FC236}">
              <a16:creationId xmlns="" xmlns:a16="http://schemas.microsoft.com/office/drawing/2014/main" id="{00000000-0008-0000-0000-00002A000000}"/>
            </a:ext>
          </a:extLst>
        </xdr:cNvPr>
        <xdr:cNvSpPr/>
      </xdr:nvSpPr>
      <xdr:spPr>
        <a:xfrm>
          <a:off x="10734675" y="91297125"/>
          <a:ext cx="247650" cy="24079200"/>
        </a:xfrm>
        <a:prstGeom prst="rightBrace">
          <a:avLst>
            <a:gd name="adj1" fmla="val 8333"/>
            <a:gd name="adj2" fmla="val 5014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885825</xdr:colOff>
      <xdr:row>393</xdr:row>
      <xdr:rowOff>28575</xdr:rowOff>
    </xdr:from>
    <xdr:to>
      <xdr:col>12</xdr:col>
      <xdr:colOff>219075</xdr:colOff>
      <xdr:row>413</xdr:row>
      <xdr:rowOff>1019175</xdr:rowOff>
    </xdr:to>
    <xdr:sp macro="" textlink="">
      <xdr:nvSpPr>
        <xdr:cNvPr id="62" name="Right Brace 61">
          <a:extLst>
            <a:ext uri="{FF2B5EF4-FFF2-40B4-BE49-F238E27FC236}">
              <a16:creationId xmlns="" xmlns:a16="http://schemas.microsoft.com/office/drawing/2014/main" id="{00000000-0008-0000-0000-00002A000000}"/>
            </a:ext>
          </a:extLst>
        </xdr:cNvPr>
        <xdr:cNvSpPr/>
      </xdr:nvSpPr>
      <xdr:spPr>
        <a:xfrm>
          <a:off x="12611100" y="91287600"/>
          <a:ext cx="247650" cy="24079200"/>
        </a:xfrm>
        <a:prstGeom prst="rightBrace">
          <a:avLst>
            <a:gd name="adj1" fmla="val 8333"/>
            <a:gd name="adj2" fmla="val 5014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0</xdr:colOff>
      <xdr:row>393</xdr:row>
      <xdr:rowOff>19050</xdr:rowOff>
    </xdr:from>
    <xdr:to>
      <xdr:col>11</xdr:col>
      <xdr:colOff>247650</xdr:colOff>
      <xdr:row>413</xdr:row>
      <xdr:rowOff>1009650</xdr:rowOff>
    </xdr:to>
    <xdr:sp macro="" textlink="">
      <xdr:nvSpPr>
        <xdr:cNvPr id="65" name="Right Brace 64">
          <a:extLst>
            <a:ext uri="{FF2B5EF4-FFF2-40B4-BE49-F238E27FC236}">
              <a16:creationId xmlns="" xmlns:a16="http://schemas.microsoft.com/office/drawing/2014/main" id="{00000000-0008-0000-0000-00002A000000}"/>
            </a:ext>
          </a:extLst>
        </xdr:cNvPr>
        <xdr:cNvSpPr/>
      </xdr:nvSpPr>
      <xdr:spPr>
        <a:xfrm>
          <a:off x="11725275" y="91278075"/>
          <a:ext cx="247650" cy="24079200"/>
        </a:xfrm>
        <a:prstGeom prst="rightBrace">
          <a:avLst>
            <a:gd name="adj1" fmla="val 8333"/>
            <a:gd name="adj2" fmla="val 5014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104776</xdr:colOff>
      <xdr:row>0</xdr:row>
      <xdr:rowOff>0</xdr:rowOff>
    </xdr:from>
    <xdr:to>
      <xdr:col>2</xdr:col>
      <xdr:colOff>1209675</xdr:colOff>
      <xdr:row>6</xdr:row>
      <xdr:rowOff>38099</xdr:rowOff>
    </xdr:to>
    <xdr:pic>
      <xdr:nvPicPr>
        <xdr:cNvPr id="2" name="Picture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1" y="0"/>
          <a:ext cx="1104899" cy="1104899"/>
        </a:xfrm>
        <a:prstGeom prst="rect">
          <a:avLst/>
        </a:prstGeom>
      </xdr:spPr>
    </xdr:pic>
    <xdr:clientData/>
  </xdr:twoCellAnchor>
  <xdr:twoCellAnchor editAs="oneCell">
    <xdr:from>
      <xdr:col>2</xdr:col>
      <xdr:colOff>104776</xdr:colOff>
      <xdr:row>130</xdr:row>
      <xdr:rowOff>0</xdr:rowOff>
    </xdr:from>
    <xdr:to>
      <xdr:col>2</xdr:col>
      <xdr:colOff>1209675</xdr:colOff>
      <xdr:row>136</xdr:row>
      <xdr:rowOff>38099</xdr:rowOff>
    </xdr:to>
    <xdr:pic>
      <xdr:nvPicPr>
        <xdr:cNvPr id="4" name="Picture 3">
          <a:extLst>
            <a:ext uri="{FF2B5EF4-FFF2-40B4-BE49-F238E27FC236}">
              <a16:creationId xmlns:a16="http://schemas.microsoft.com/office/drawing/2014/main" xmlns=""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1" y="0"/>
          <a:ext cx="1104899" cy="1104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352425</xdr:colOff>
      <xdr:row>0</xdr:row>
      <xdr:rowOff>0</xdr:rowOff>
    </xdr:from>
    <xdr:to>
      <xdr:col>4</xdr:col>
      <xdr:colOff>228599</xdr:colOff>
      <xdr:row>5</xdr:row>
      <xdr:rowOff>152399</xdr:rowOff>
    </xdr:to>
    <xdr:pic>
      <xdr:nvPicPr>
        <xdr:cNvPr id="3" name="Picture 2">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1100" y="0"/>
          <a:ext cx="1104899" cy="11048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n%20claro\Desktop\Annual%20Budget%202021-Consolidated-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over%20PC\Desktop\Budget%20Office%20Files\Budget%20Office%20Files\BUDGET%202019\5%20Plantilla%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P NO. 2"/>
      <sheetName val="LBP NO. 2a"/>
      <sheetName val="Consolidated"/>
      <sheetName val="LBP No. 4"/>
      <sheetName val="Sheet2"/>
      <sheetName val="Sheet3"/>
    </sheetNames>
    <sheetDataSet>
      <sheetData sheetId="0">
        <row r="34">
          <cell r="M34">
            <v>7065654</v>
          </cell>
        </row>
        <row r="44">
          <cell r="M44">
            <v>3033366</v>
          </cell>
        </row>
        <row r="54">
          <cell r="M54">
            <v>5000000</v>
          </cell>
        </row>
        <row r="56">
          <cell r="I56">
            <v>8949247.2400000002</v>
          </cell>
          <cell r="J56">
            <v>5910964.8500000006</v>
          </cell>
          <cell r="K56">
            <v>17354158.82</v>
          </cell>
          <cell r="L56">
            <v>23265123.669999998</v>
          </cell>
          <cell r="M56">
            <v>15099020</v>
          </cell>
        </row>
        <row r="104">
          <cell r="M104">
            <v>18449378</v>
          </cell>
        </row>
        <row r="119">
          <cell r="M119">
            <v>5998000</v>
          </cell>
        </row>
        <row r="126">
          <cell r="M126">
            <v>600000</v>
          </cell>
        </row>
        <row r="128">
          <cell r="I128">
            <v>25507963.530000001</v>
          </cell>
          <cell r="J128">
            <v>11129375.99</v>
          </cell>
          <cell r="K128">
            <v>13959225.91</v>
          </cell>
          <cell r="L128">
            <v>25088601.900000002</v>
          </cell>
          <cell r="M128">
            <v>25047378</v>
          </cell>
        </row>
        <row r="171">
          <cell r="M171">
            <v>2244584</v>
          </cell>
        </row>
        <row r="179">
          <cell r="M179">
            <v>458607</v>
          </cell>
        </row>
        <row r="184">
          <cell r="M184">
            <v>170000</v>
          </cell>
        </row>
        <row r="186">
          <cell r="I186">
            <v>2133144.65</v>
          </cell>
          <cell r="J186">
            <v>1222290.1599999999</v>
          </cell>
          <cell r="K186">
            <v>1571920.92</v>
          </cell>
          <cell r="L186">
            <v>2794211.08</v>
          </cell>
          <cell r="M186">
            <v>2873191</v>
          </cell>
        </row>
        <row r="238">
          <cell r="M238">
            <v>2013438</v>
          </cell>
        </row>
        <row r="247">
          <cell r="M247">
            <v>199250</v>
          </cell>
        </row>
        <row r="252">
          <cell r="M252">
            <v>70000</v>
          </cell>
        </row>
        <row r="254">
          <cell r="I254">
            <v>2195907.5700000003</v>
          </cell>
          <cell r="J254">
            <v>1444290.75</v>
          </cell>
          <cell r="K254">
            <v>1211315.6000000001</v>
          </cell>
          <cell r="L254">
            <v>2655606.35</v>
          </cell>
          <cell r="M254">
            <v>2282688</v>
          </cell>
        </row>
        <row r="309">
          <cell r="M309">
            <v>2161780</v>
          </cell>
        </row>
        <row r="317">
          <cell r="M317">
            <v>310000</v>
          </cell>
        </row>
        <row r="322">
          <cell r="M322">
            <v>20000</v>
          </cell>
        </row>
        <row r="324">
          <cell r="I324">
            <v>2335062.2800000003</v>
          </cell>
          <cell r="J324">
            <v>1402399.8800000001</v>
          </cell>
          <cell r="K324">
            <v>1396975.2</v>
          </cell>
          <cell r="L324">
            <v>2799375.08</v>
          </cell>
          <cell r="M324">
            <v>2491780</v>
          </cell>
        </row>
        <row r="377">
          <cell r="M377">
            <v>2617436</v>
          </cell>
        </row>
        <row r="385">
          <cell r="M385">
            <v>499245</v>
          </cell>
        </row>
        <row r="391">
          <cell r="M391">
            <v>105500</v>
          </cell>
        </row>
        <row r="393">
          <cell r="I393">
            <v>2707188.1</v>
          </cell>
          <cell r="J393">
            <v>1318644.94</v>
          </cell>
          <cell r="K393">
            <v>2097744.2999999998</v>
          </cell>
          <cell r="L393">
            <v>3416389.24</v>
          </cell>
          <cell r="M393">
            <v>3222181</v>
          </cell>
        </row>
        <row r="446">
          <cell r="M446">
            <v>4572309</v>
          </cell>
        </row>
        <row r="457">
          <cell r="M457">
            <v>904000</v>
          </cell>
        </row>
        <row r="463">
          <cell r="M463">
            <v>160000</v>
          </cell>
        </row>
        <row r="465">
          <cell r="I465">
            <v>5424351.46</v>
          </cell>
          <cell r="J465">
            <v>2541102.3499999996</v>
          </cell>
          <cell r="K465">
            <v>3088402.43</v>
          </cell>
          <cell r="L465">
            <v>5629504.7800000003</v>
          </cell>
          <cell r="M465">
            <v>5636309</v>
          </cell>
        </row>
        <row r="513">
          <cell r="M513">
            <v>2779008</v>
          </cell>
        </row>
        <row r="522">
          <cell r="M522">
            <v>431500</v>
          </cell>
        </row>
        <row r="528">
          <cell r="M528">
            <v>135000</v>
          </cell>
        </row>
        <row r="530">
          <cell r="I530">
            <v>2888563.7</v>
          </cell>
          <cell r="J530">
            <v>1382443.37</v>
          </cell>
          <cell r="K530">
            <v>1988642.4</v>
          </cell>
          <cell r="L530">
            <v>3371085.77</v>
          </cell>
          <cell r="M530">
            <v>3345508</v>
          </cell>
        </row>
        <row r="582">
          <cell r="M582">
            <v>2425711</v>
          </cell>
        </row>
        <row r="591">
          <cell r="M591">
            <v>234000</v>
          </cell>
        </row>
        <row r="597">
          <cell r="M597">
            <v>220000</v>
          </cell>
        </row>
        <row r="599">
          <cell r="I599">
            <v>2249472.17</v>
          </cell>
          <cell r="J599">
            <v>1038974.5</v>
          </cell>
          <cell r="K599">
            <v>1307477.3500000001</v>
          </cell>
          <cell r="L599">
            <v>2346451.85</v>
          </cell>
          <cell r="M599">
            <v>2879711</v>
          </cell>
        </row>
        <row r="652">
          <cell r="M652">
            <v>2685850.8</v>
          </cell>
        </row>
        <row r="662">
          <cell r="M662">
            <v>2433040</v>
          </cell>
        </row>
        <row r="668">
          <cell r="M668">
            <v>190000</v>
          </cell>
        </row>
        <row r="670">
          <cell r="I670">
            <v>3913228.22</v>
          </cell>
          <cell r="J670">
            <v>1785425.02</v>
          </cell>
          <cell r="K670">
            <v>2798596.2</v>
          </cell>
          <cell r="L670">
            <v>4584021.22</v>
          </cell>
          <cell r="M670">
            <v>5308890.8</v>
          </cell>
        </row>
        <row r="719">
          <cell r="M719">
            <v>4217052</v>
          </cell>
        </row>
        <row r="729">
          <cell r="M729">
            <v>1264932.2</v>
          </cell>
        </row>
        <row r="735">
          <cell r="M735">
            <v>120000</v>
          </cell>
        </row>
        <row r="737">
          <cell r="I737">
            <v>4880398.71</v>
          </cell>
          <cell r="J737">
            <v>2353865.2199999997</v>
          </cell>
          <cell r="K737">
            <v>3429938.9799999995</v>
          </cell>
          <cell r="L737">
            <v>5783804.2000000002</v>
          </cell>
          <cell r="M737">
            <v>5601984.2000000002</v>
          </cell>
        </row>
        <row r="790">
          <cell r="M790">
            <v>7797265</v>
          </cell>
        </row>
        <row r="800">
          <cell r="M800">
            <v>1986609</v>
          </cell>
        </row>
        <row r="805">
          <cell r="M805">
            <v>70000</v>
          </cell>
        </row>
        <row r="807">
          <cell r="I807">
            <v>9371687.379999999</v>
          </cell>
          <cell r="J807">
            <v>4609615.0200000005</v>
          </cell>
          <cell r="K807">
            <v>5593465.3200000003</v>
          </cell>
          <cell r="L807">
            <v>10203080.34</v>
          </cell>
          <cell r="M807">
            <v>9853874</v>
          </cell>
        </row>
        <row r="852">
          <cell r="M852">
            <v>0</v>
          </cell>
        </row>
        <row r="854">
          <cell r="M854">
            <v>2932971</v>
          </cell>
        </row>
        <row r="862">
          <cell r="M862">
            <v>1588991</v>
          </cell>
        </row>
        <row r="865">
          <cell r="M865">
            <v>25000</v>
          </cell>
        </row>
        <row r="867">
          <cell r="I867">
            <v>4228122.1099999994</v>
          </cell>
          <cell r="J867">
            <v>1920443.81</v>
          </cell>
          <cell r="K867">
            <v>2620940.4299999997</v>
          </cell>
          <cell r="L867">
            <v>4541384.24</v>
          </cell>
          <cell r="M867">
            <v>4546962</v>
          </cell>
        </row>
        <row r="918">
          <cell r="M918">
            <v>993914</v>
          </cell>
        </row>
        <row r="926">
          <cell r="M926">
            <v>319000</v>
          </cell>
        </row>
        <row r="931">
          <cell r="M931">
            <v>270000</v>
          </cell>
        </row>
        <row r="933">
          <cell r="I933">
            <v>800018.47</v>
          </cell>
          <cell r="J933">
            <v>435881.22</v>
          </cell>
          <cell r="K933">
            <v>1158649.3199999998</v>
          </cell>
          <cell r="L933">
            <v>1594530.54</v>
          </cell>
          <cell r="M933">
            <v>1582914</v>
          </cell>
        </row>
        <row r="986">
          <cell r="M986">
            <v>61200</v>
          </cell>
        </row>
        <row r="988">
          <cell r="M988">
            <v>40800</v>
          </cell>
        </row>
        <row r="992">
          <cell r="M992">
            <v>8148939</v>
          </cell>
        </row>
        <row r="1004">
          <cell r="M1004">
            <v>3800118</v>
          </cell>
        </row>
        <row r="1011">
          <cell r="M1011">
            <v>140000</v>
          </cell>
        </row>
        <row r="1013">
          <cell r="M1013">
            <v>0</v>
          </cell>
        </row>
        <row r="1014">
          <cell r="I1014">
            <v>12149201.470000001</v>
          </cell>
          <cell r="J1014">
            <v>5352438.5600000005</v>
          </cell>
          <cell r="K1014">
            <v>7381938.1799999997</v>
          </cell>
          <cell r="L1014">
            <v>12734376.74</v>
          </cell>
          <cell r="M1014">
            <v>12089057</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P NO. 1"/>
      <sheetName val="LBP NO. 2"/>
      <sheetName val="LBP NO. 2 Sort"/>
      <sheetName val="LBP NO. 2a"/>
      <sheetName val="LBP NO. 3"/>
      <sheetName val="LBP NO. 3a per office"/>
      <sheetName val="LBP No. 4"/>
      <sheetName val="LBP NO. 5"/>
      <sheetName val="LBP NO. 6"/>
      <sheetName val="LBP NO. 7"/>
      <sheetName val="Summary"/>
      <sheetName val="PROPOSED BUDGET"/>
      <sheetName val="2018 Annual Budget"/>
      <sheetName val="LBP NO. 8 2018"/>
      <sheetName val="Chart"/>
      <sheetName val="Sheet1"/>
      <sheetName val="Sorting GF Exp"/>
      <sheetName val="LBP NO. 3 sorting"/>
      <sheetName val="LBP NO. 2 Sorting"/>
      <sheetName val="LBP NO. 3 SORTING_2"/>
      <sheetName val="LBP NO. 2-FINAL  SORTING"/>
      <sheetName val="LBP NO. 2 FINAL"/>
      <sheetName val="Category"/>
      <sheetName val="LBP NO. 2 FOR 8 "/>
      <sheetName val="Sheet2"/>
    </sheetNames>
    <sheetDataSet>
      <sheetData sheetId="0"/>
      <sheetData sheetId="1"/>
      <sheetData sheetId="2"/>
      <sheetData sheetId="3"/>
      <sheetData sheetId="4">
        <row r="481">
          <cell r="J481">
            <v>32549268</v>
          </cell>
          <cell r="M481">
            <v>3192793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6"/>
  <sheetViews>
    <sheetView tabSelected="1" workbookViewId="0">
      <selection activeCell="F4" sqref="F4"/>
    </sheetView>
  </sheetViews>
  <sheetFormatPr defaultRowHeight="12.75" x14ac:dyDescent="0.2"/>
  <cols>
    <col min="1" max="1" width="2.7109375" style="104" customWidth="1"/>
    <col min="2" max="2" width="2.140625" style="104" customWidth="1"/>
    <col min="3" max="5" width="1.7109375" style="104" customWidth="1"/>
    <col min="6" max="6" width="33.85546875" style="104" customWidth="1"/>
    <col min="7" max="7" width="4" style="881" hidden="1" customWidth="1"/>
    <col min="8" max="8" width="12.28515625" style="104" customWidth="1"/>
    <col min="9" max="9" width="12" style="1" customWidth="1"/>
    <col min="10" max="10" width="14.7109375" style="104" customWidth="1"/>
    <col min="11" max="11" width="14.5703125" style="104" customWidth="1"/>
    <col min="12" max="12" width="14.7109375" style="748" customWidth="1"/>
    <col min="13" max="13" width="14.5703125" style="748" customWidth="1"/>
    <col min="14" max="14" width="15.5703125" style="104" customWidth="1"/>
    <col min="15" max="15" width="2.7109375" style="1313" customWidth="1"/>
    <col min="16" max="16" width="9.140625" style="1313"/>
    <col min="17" max="17" width="10.28515625" style="1313" customWidth="1"/>
    <col min="18" max="16384" width="9.140625" style="1313"/>
  </cols>
  <sheetData>
    <row r="1" spans="1:18" ht="18" customHeight="1" x14ac:dyDescent="0.2">
      <c r="A1" s="19"/>
      <c r="B1" s="626"/>
      <c r="C1" s="626"/>
      <c r="D1" s="626"/>
      <c r="E1" s="626"/>
      <c r="F1" s="626"/>
      <c r="G1" s="875"/>
      <c r="H1" s="626"/>
      <c r="I1" s="627"/>
      <c r="J1" s="626"/>
      <c r="K1" s="626"/>
      <c r="L1" s="628"/>
      <c r="M1" s="628"/>
      <c r="N1" s="629"/>
    </row>
    <row r="2" spans="1:18" ht="18" customHeight="1" x14ac:dyDescent="0.2">
      <c r="A2" s="1070" t="s">
        <v>583</v>
      </c>
      <c r="B2" s="1070"/>
      <c r="C2" s="1070"/>
      <c r="D2" s="1070"/>
      <c r="E2" s="1070"/>
      <c r="F2" s="1070"/>
      <c r="G2" s="1070"/>
      <c r="H2" s="1070"/>
      <c r="I2" s="1070"/>
      <c r="J2" s="1070"/>
      <c r="K2" s="1070"/>
      <c r="L2" s="1070"/>
      <c r="M2" s="1070"/>
      <c r="N2" s="1070"/>
    </row>
    <row r="3" spans="1:18" ht="18" customHeight="1" x14ac:dyDescent="0.2">
      <c r="A3" s="1070" t="s">
        <v>364</v>
      </c>
      <c r="B3" s="1070"/>
      <c r="C3" s="1070"/>
      <c r="D3" s="1070"/>
      <c r="E3" s="1070"/>
      <c r="F3" s="1070"/>
      <c r="G3" s="1070"/>
      <c r="H3" s="1070"/>
      <c r="I3" s="1070"/>
      <c r="J3" s="1070"/>
      <c r="K3" s="1070"/>
      <c r="L3" s="1070"/>
      <c r="M3" s="1070"/>
      <c r="N3" s="1070"/>
    </row>
    <row r="4" spans="1:18" ht="18" customHeight="1" x14ac:dyDescent="0.2">
      <c r="A4" s="871"/>
      <c r="B4" s="871"/>
      <c r="C4" s="871"/>
      <c r="D4" s="871"/>
      <c r="E4" s="871"/>
      <c r="F4" s="871"/>
      <c r="G4" s="871"/>
      <c r="H4" s="871"/>
      <c r="I4" s="878"/>
      <c r="J4" s="871"/>
      <c r="K4" s="871"/>
      <c r="L4" s="630"/>
      <c r="M4" s="630"/>
      <c r="N4" s="871"/>
    </row>
    <row r="5" spans="1:18" ht="18" customHeight="1" thickBot="1" x14ac:dyDescent="0.25">
      <c r="A5" s="1070" t="s">
        <v>0</v>
      </c>
      <c r="B5" s="1070"/>
      <c r="C5" s="1070"/>
      <c r="D5" s="1070"/>
      <c r="E5" s="1070"/>
      <c r="F5" s="1070"/>
      <c r="G5" s="1070"/>
      <c r="H5" s="1070"/>
      <c r="I5" s="1070"/>
      <c r="J5" s="1070"/>
      <c r="K5" s="1070"/>
      <c r="L5" s="1070"/>
      <c r="M5" s="1070"/>
      <c r="N5" s="1070"/>
    </row>
    <row r="6" spans="1:18" s="1314" customFormat="1" ht="18" customHeight="1" x14ac:dyDescent="0.2">
      <c r="A6" s="631"/>
      <c r="B6" s="632"/>
      <c r="C6" s="632"/>
      <c r="D6" s="632"/>
      <c r="E6" s="632"/>
      <c r="F6" s="632"/>
      <c r="G6" s="633"/>
      <c r="H6" s="634"/>
      <c r="I6" s="634"/>
      <c r="J6" s="634"/>
      <c r="K6" s="1071"/>
      <c r="L6" s="1072"/>
      <c r="M6" s="1073"/>
      <c r="N6" s="635"/>
    </row>
    <row r="7" spans="1:18" s="1314" customFormat="1" ht="18" customHeight="1" x14ac:dyDescent="0.25">
      <c r="A7" s="1074" t="s">
        <v>3</v>
      </c>
      <c r="B7" s="1075"/>
      <c r="C7" s="1075"/>
      <c r="D7" s="1075"/>
      <c r="E7" s="1075"/>
      <c r="F7" s="1075"/>
      <c r="G7" s="636"/>
      <c r="H7" s="636" t="s">
        <v>1</v>
      </c>
      <c r="I7" s="637" t="s">
        <v>2</v>
      </c>
      <c r="J7" s="636" t="s">
        <v>6</v>
      </c>
      <c r="K7" s="1066" t="s">
        <v>641</v>
      </c>
      <c r="L7" s="1067"/>
      <c r="M7" s="1068"/>
      <c r="N7" s="638" t="s">
        <v>7</v>
      </c>
    </row>
    <row r="8" spans="1:18" s="1314" customFormat="1" ht="18" customHeight="1" x14ac:dyDescent="0.25">
      <c r="A8" s="639"/>
      <c r="B8" s="627"/>
      <c r="C8" s="627"/>
      <c r="D8" s="627"/>
      <c r="E8" s="627"/>
      <c r="F8" s="627"/>
      <c r="G8" s="640"/>
      <c r="H8" s="636" t="s">
        <v>4</v>
      </c>
      <c r="I8" s="637" t="s">
        <v>5</v>
      </c>
      <c r="J8" s="641">
        <v>2019</v>
      </c>
      <c r="K8" s="636" t="s">
        <v>579</v>
      </c>
      <c r="L8" s="642" t="s">
        <v>582</v>
      </c>
      <c r="M8" s="636">
        <v>2020</v>
      </c>
      <c r="N8" s="643">
        <v>2021</v>
      </c>
    </row>
    <row r="9" spans="1:18" s="1314" customFormat="1" ht="18" customHeight="1" x14ac:dyDescent="0.2">
      <c r="A9" s="639"/>
      <c r="B9" s="627"/>
      <c r="C9" s="627"/>
      <c r="D9" s="627"/>
      <c r="E9" s="627"/>
      <c r="F9" s="627"/>
      <c r="G9" s="640"/>
      <c r="H9" s="636"/>
      <c r="I9" s="636"/>
      <c r="J9" s="636" t="s">
        <v>579</v>
      </c>
      <c r="K9" s="636">
        <v>2020</v>
      </c>
      <c r="L9" s="636">
        <v>2020</v>
      </c>
      <c r="M9" s="642" t="s">
        <v>968</v>
      </c>
      <c r="N9" s="638" t="s">
        <v>584</v>
      </c>
    </row>
    <row r="10" spans="1:18" s="1314" customFormat="1" ht="18" customHeight="1" thickBot="1" x14ac:dyDescent="0.25">
      <c r="A10" s="1076"/>
      <c r="B10" s="1077"/>
      <c r="C10" s="1077"/>
      <c r="D10" s="1077"/>
      <c r="E10" s="1077"/>
      <c r="F10" s="1077"/>
      <c r="G10" s="644"/>
      <c r="H10" s="644"/>
      <c r="I10" s="644"/>
      <c r="J10" s="644"/>
      <c r="K10" s="644"/>
      <c r="L10" s="645"/>
      <c r="M10" s="645"/>
      <c r="N10" s="646"/>
    </row>
    <row r="11" spans="1:18" ht="18" customHeight="1" x14ac:dyDescent="0.25">
      <c r="A11" s="647" t="s">
        <v>490</v>
      </c>
      <c r="B11" s="648" t="s">
        <v>491</v>
      </c>
      <c r="C11" s="648"/>
      <c r="D11" s="648"/>
      <c r="E11" s="648"/>
      <c r="F11" s="648"/>
      <c r="G11" s="649"/>
      <c r="H11" s="650"/>
      <c r="I11" s="651"/>
      <c r="J11" s="652"/>
      <c r="K11" s="652"/>
      <c r="L11" s="653"/>
      <c r="M11" s="652"/>
      <c r="N11" s="652"/>
    </row>
    <row r="12" spans="1:18" ht="18" customHeight="1" x14ac:dyDescent="0.25">
      <c r="A12" s="654"/>
      <c r="B12" s="655" t="s">
        <v>682</v>
      </c>
      <c r="C12" s="655"/>
      <c r="D12" s="656"/>
      <c r="E12" s="656"/>
      <c r="F12" s="656"/>
      <c r="G12" s="657"/>
      <c r="H12" s="658"/>
      <c r="I12" s="659"/>
      <c r="J12" s="686">
        <v>14479748.560000001</v>
      </c>
      <c r="K12" s="901"/>
      <c r="L12" s="661">
        <v>0</v>
      </c>
      <c r="M12" s="661">
        <v>18097854.300000001</v>
      </c>
      <c r="N12" s="662">
        <v>0</v>
      </c>
      <c r="Q12" s="1315"/>
      <c r="R12" s="1314"/>
    </row>
    <row r="13" spans="1:18" ht="18" customHeight="1" thickBot="1" x14ac:dyDescent="0.3">
      <c r="A13" s="663"/>
      <c r="B13" s="664" t="s">
        <v>818</v>
      </c>
      <c r="C13" s="664"/>
      <c r="D13" s="664"/>
      <c r="E13" s="664"/>
      <c r="F13" s="664"/>
      <c r="G13" s="665"/>
      <c r="H13" s="666"/>
      <c r="I13" s="667"/>
      <c r="J13" s="668"/>
      <c r="K13" s="669"/>
      <c r="L13" s="670"/>
      <c r="M13" s="671"/>
      <c r="N13" s="672"/>
      <c r="Q13" s="1315"/>
      <c r="R13" s="1314"/>
    </row>
    <row r="14" spans="1:18" s="1316" customFormat="1" ht="18" customHeight="1" thickBot="1" x14ac:dyDescent="0.3">
      <c r="A14" s="673"/>
      <c r="B14" s="674" t="s">
        <v>683</v>
      </c>
      <c r="C14" s="674"/>
      <c r="D14" s="674"/>
      <c r="E14" s="674"/>
      <c r="F14" s="674"/>
      <c r="G14" s="675"/>
      <c r="H14" s="676"/>
      <c r="I14" s="677"/>
      <c r="J14" s="678">
        <f>SUM(J12:J13)</f>
        <v>14479748.560000001</v>
      </c>
      <c r="K14" s="678">
        <f>SUM(K12:K13)</f>
        <v>0</v>
      </c>
      <c r="L14" s="678">
        <f>SUM(L12:L13)</f>
        <v>0</v>
      </c>
      <c r="M14" s="680">
        <f>SUM(M12:M13)</f>
        <v>18097854.300000001</v>
      </c>
      <c r="N14" s="680">
        <f>SUM(N12:N13)</f>
        <v>0</v>
      </c>
    </row>
    <row r="15" spans="1:18" ht="18" customHeight="1" x14ac:dyDescent="0.25">
      <c r="A15" s="681" t="s">
        <v>492</v>
      </c>
      <c r="B15" s="682" t="s">
        <v>493</v>
      </c>
      <c r="C15" s="682"/>
      <c r="D15" s="682"/>
      <c r="E15" s="682"/>
      <c r="F15" s="682"/>
      <c r="G15" s="683"/>
      <c r="H15" s="684"/>
      <c r="I15" s="685"/>
      <c r="J15" s="686"/>
      <c r="K15" s="687"/>
      <c r="L15" s="688"/>
      <c r="M15" s="687"/>
      <c r="N15" s="687"/>
    </row>
    <row r="16" spans="1:18" ht="18" customHeight="1" x14ac:dyDescent="0.25">
      <c r="A16" s="689"/>
      <c r="B16" s="690" t="s">
        <v>525</v>
      </c>
      <c r="C16" s="690"/>
      <c r="D16" s="690"/>
      <c r="E16" s="690"/>
      <c r="F16" s="690"/>
      <c r="G16" s="691"/>
      <c r="H16" s="658"/>
      <c r="I16" s="659"/>
      <c r="J16" s="660"/>
      <c r="K16" s="692"/>
      <c r="L16" s="693"/>
      <c r="M16" s="692"/>
      <c r="N16" s="692"/>
    </row>
    <row r="17" spans="1:14" ht="18" customHeight="1" x14ac:dyDescent="0.25">
      <c r="A17" s="654"/>
      <c r="B17" s="656"/>
      <c r="C17" s="656" t="s">
        <v>189</v>
      </c>
      <c r="D17" s="656"/>
      <c r="E17" s="656"/>
      <c r="F17" s="656"/>
      <c r="G17" s="691"/>
      <c r="H17" s="658"/>
      <c r="I17" s="659"/>
      <c r="J17" s="660"/>
      <c r="K17" s="692"/>
      <c r="L17" s="693"/>
      <c r="M17" s="692"/>
      <c r="N17" s="692"/>
    </row>
    <row r="18" spans="1:14" ht="18" customHeight="1" x14ac:dyDescent="0.25">
      <c r="A18" s="654"/>
      <c r="B18" s="656"/>
      <c r="C18" s="656"/>
      <c r="D18" s="656" t="s">
        <v>494</v>
      </c>
      <c r="E18" s="656"/>
      <c r="F18" s="656"/>
      <c r="G18" s="657"/>
      <c r="H18" s="658"/>
      <c r="I18" s="659"/>
      <c r="J18" s="660"/>
      <c r="K18" s="692"/>
      <c r="L18" s="693"/>
      <c r="M18" s="692"/>
      <c r="N18" s="692"/>
    </row>
    <row r="19" spans="1:14" ht="18" customHeight="1" x14ac:dyDescent="0.25">
      <c r="A19" s="654"/>
      <c r="B19" s="656"/>
      <c r="C19" s="656"/>
      <c r="D19" s="656"/>
      <c r="E19" s="656" t="s">
        <v>44</v>
      </c>
      <c r="F19" s="656"/>
      <c r="G19" s="694" t="s">
        <v>778</v>
      </c>
      <c r="H19" s="658" t="s">
        <v>732</v>
      </c>
      <c r="I19" s="659" t="s">
        <v>753</v>
      </c>
      <c r="J19" s="660">
        <v>2105432.84</v>
      </c>
      <c r="K19" s="692">
        <v>1141274.06</v>
      </c>
      <c r="L19" s="693">
        <f>2600000-K19</f>
        <v>1458725.94</v>
      </c>
      <c r="M19" s="692">
        <f>L19+K19</f>
        <v>2600000</v>
      </c>
      <c r="N19" s="692">
        <v>2600000</v>
      </c>
    </row>
    <row r="20" spans="1:14" ht="18" customHeight="1" x14ac:dyDescent="0.25">
      <c r="A20" s="654"/>
      <c r="B20" s="656"/>
      <c r="C20" s="656"/>
      <c r="D20" s="656"/>
      <c r="E20" s="656" t="s">
        <v>536</v>
      </c>
      <c r="F20" s="656"/>
      <c r="G20" s="694" t="s">
        <v>779</v>
      </c>
      <c r="H20" s="658" t="s">
        <v>732</v>
      </c>
      <c r="I20" s="659" t="s">
        <v>753</v>
      </c>
      <c r="J20" s="660">
        <v>918972.05</v>
      </c>
      <c r="K20" s="692">
        <v>422343.32</v>
      </c>
      <c r="L20" s="693">
        <f>920000-K20</f>
        <v>497656.68</v>
      </c>
      <c r="M20" s="692">
        <f>L20+K20</f>
        <v>920000</v>
      </c>
      <c r="N20" s="692">
        <v>950000</v>
      </c>
    </row>
    <row r="21" spans="1:14" ht="18" customHeight="1" x14ac:dyDescent="0.25">
      <c r="A21" s="654"/>
      <c r="B21" s="656"/>
      <c r="C21" s="656"/>
      <c r="D21" s="656"/>
      <c r="E21" s="656" t="s">
        <v>537</v>
      </c>
      <c r="F21" s="656"/>
      <c r="G21" s="694" t="s">
        <v>766</v>
      </c>
      <c r="H21" s="658" t="s">
        <v>733</v>
      </c>
      <c r="I21" s="659" t="s">
        <v>753</v>
      </c>
      <c r="J21" s="660">
        <v>443896.52</v>
      </c>
      <c r="K21" s="692">
        <v>175857.68</v>
      </c>
      <c r="L21" s="693">
        <f>500000-K21</f>
        <v>324142.32</v>
      </c>
      <c r="M21" s="692">
        <f>L21+K21</f>
        <v>500000</v>
      </c>
      <c r="N21" s="692">
        <v>510000</v>
      </c>
    </row>
    <row r="22" spans="1:14" ht="18" customHeight="1" x14ac:dyDescent="0.25">
      <c r="A22" s="654"/>
      <c r="B22" s="656"/>
      <c r="C22" s="656"/>
      <c r="D22" s="656" t="s">
        <v>538</v>
      </c>
      <c r="E22" s="656"/>
      <c r="F22" s="656"/>
      <c r="G22" s="657"/>
      <c r="H22" s="658"/>
      <c r="I22" s="659"/>
      <c r="J22" s="660"/>
      <c r="K22" s="692"/>
      <c r="L22" s="693"/>
      <c r="M22" s="692"/>
      <c r="N22" s="692"/>
    </row>
    <row r="23" spans="1:14" ht="18" customHeight="1" x14ac:dyDescent="0.25">
      <c r="A23" s="654"/>
      <c r="B23" s="656"/>
      <c r="C23" s="656"/>
      <c r="D23" s="656"/>
      <c r="E23" s="656" t="s">
        <v>539</v>
      </c>
      <c r="F23" s="656"/>
      <c r="G23" s="694" t="s">
        <v>780</v>
      </c>
      <c r="H23" s="658" t="s">
        <v>735</v>
      </c>
      <c r="I23" s="659" t="s">
        <v>753</v>
      </c>
      <c r="J23" s="660">
        <v>196045</v>
      </c>
      <c r="K23" s="692">
        <v>26932.5</v>
      </c>
      <c r="L23" s="693">
        <f>200000-K23</f>
        <v>173067.5</v>
      </c>
      <c r="M23" s="692">
        <f>L23+K23</f>
        <v>200000</v>
      </c>
      <c r="N23" s="692">
        <v>170000</v>
      </c>
    </row>
    <row r="24" spans="1:14" ht="18" customHeight="1" x14ac:dyDescent="0.25">
      <c r="A24" s="654"/>
      <c r="B24" s="656"/>
      <c r="C24" s="656"/>
      <c r="D24" s="656"/>
      <c r="E24" s="656" t="s">
        <v>540</v>
      </c>
      <c r="F24" s="656"/>
      <c r="G24" s="694" t="s">
        <v>781</v>
      </c>
      <c r="H24" s="658" t="s">
        <v>736</v>
      </c>
      <c r="I24" s="659" t="s">
        <v>753</v>
      </c>
      <c r="J24" s="660">
        <v>108670</v>
      </c>
      <c r="K24" s="692">
        <v>76075</v>
      </c>
      <c r="L24" s="693">
        <f>125000-K24</f>
        <v>48925</v>
      </c>
      <c r="M24" s="692">
        <f>L24+K24</f>
        <v>125000</v>
      </c>
      <c r="N24" s="692">
        <v>125000</v>
      </c>
    </row>
    <row r="25" spans="1:14" ht="18" customHeight="1" x14ac:dyDescent="0.25">
      <c r="A25" s="654"/>
      <c r="B25" s="656"/>
      <c r="C25" s="656"/>
      <c r="D25" s="656"/>
      <c r="E25" s="656" t="s">
        <v>541</v>
      </c>
      <c r="F25" s="656"/>
      <c r="G25" s="694" t="s">
        <v>782</v>
      </c>
      <c r="H25" s="658"/>
      <c r="I25" s="659"/>
      <c r="J25" s="660">
        <v>244240</v>
      </c>
      <c r="K25" s="692">
        <v>204389</v>
      </c>
      <c r="L25" s="693">
        <f>270000-K25</f>
        <v>65611</v>
      </c>
      <c r="M25" s="692">
        <f>L25+K25</f>
        <v>270000</v>
      </c>
      <c r="N25" s="692">
        <v>280000</v>
      </c>
    </row>
    <row r="26" spans="1:14" ht="18" customHeight="1" x14ac:dyDescent="0.25">
      <c r="A26" s="654"/>
      <c r="B26" s="656"/>
      <c r="C26" s="656"/>
      <c r="D26" s="656"/>
      <c r="E26" s="656" t="s">
        <v>542</v>
      </c>
      <c r="F26" s="656"/>
      <c r="G26" s="657"/>
      <c r="H26" s="658"/>
      <c r="I26" s="659"/>
      <c r="J26" s="660"/>
      <c r="K26" s="692"/>
      <c r="L26" s="693"/>
      <c r="M26" s="692"/>
      <c r="N26" s="692"/>
    </row>
    <row r="27" spans="1:14" ht="18" customHeight="1" x14ac:dyDescent="0.25">
      <c r="A27" s="654"/>
      <c r="B27" s="656"/>
      <c r="C27" s="656"/>
      <c r="D27" s="656"/>
      <c r="E27" s="656"/>
      <c r="F27" s="656" t="s">
        <v>543</v>
      </c>
      <c r="G27" s="694" t="s">
        <v>783</v>
      </c>
      <c r="H27" s="658" t="s">
        <v>737</v>
      </c>
      <c r="I27" s="659" t="s">
        <v>753</v>
      </c>
      <c r="J27" s="660">
        <v>31660.5</v>
      </c>
      <c r="K27" s="692">
        <v>0</v>
      </c>
      <c r="L27" s="693">
        <f>20000-K27</f>
        <v>20000</v>
      </c>
      <c r="M27" s="692">
        <f>L27+K27</f>
        <v>20000</v>
      </c>
      <c r="N27" s="692">
        <v>20000</v>
      </c>
    </row>
    <row r="28" spans="1:14" ht="18" customHeight="1" thickBot="1" x14ac:dyDescent="0.3">
      <c r="A28" s="663"/>
      <c r="B28" s="664"/>
      <c r="C28" s="664"/>
      <c r="D28" s="664"/>
      <c r="E28" s="664" t="s">
        <v>544</v>
      </c>
      <c r="F28" s="664"/>
      <c r="G28" s="695" t="s">
        <v>784</v>
      </c>
      <c r="H28" s="666" t="s">
        <v>738</v>
      </c>
      <c r="I28" s="667" t="s">
        <v>753</v>
      </c>
      <c r="J28" s="696">
        <v>618890.82999999996</v>
      </c>
      <c r="K28" s="697">
        <v>511094.95</v>
      </c>
      <c r="L28" s="698">
        <f>630000-K28</f>
        <v>118905.04999999999</v>
      </c>
      <c r="M28" s="697">
        <f>L28+K28</f>
        <v>630000</v>
      </c>
      <c r="N28" s="697">
        <v>640000</v>
      </c>
    </row>
    <row r="29" spans="1:14" s="1316" customFormat="1" ht="18" customHeight="1" thickBot="1" x14ac:dyDescent="0.3">
      <c r="A29" s="707"/>
      <c r="B29" s="674"/>
      <c r="C29" s="674" t="s">
        <v>495</v>
      </c>
      <c r="D29" s="674"/>
      <c r="E29" s="674"/>
      <c r="F29" s="674"/>
      <c r="G29" s="675"/>
      <c r="H29" s="676"/>
      <c r="I29" s="677"/>
      <c r="J29" s="699">
        <f>SUM(J19:J28)</f>
        <v>4667807.7399999993</v>
      </c>
      <c r="K29" s="699">
        <f>SUM(K19:K28)</f>
        <v>2557966.5100000002</v>
      </c>
      <c r="L29" s="700">
        <f>SUM(L19:L28)</f>
        <v>2707033.4899999998</v>
      </c>
      <c r="M29" s="699">
        <f>SUM(M19:M28)</f>
        <v>5265000</v>
      </c>
      <c r="N29" s="708">
        <f>SUM(N19:N28)</f>
        <v>5295000</v>
      </c>
    </row>
    <row r="30" spans="1:14" ht="18" customHeight="1" x14ac:dyDescent="0.25">
      <c r="A30" s="701"/>
      <c r="B30" s="702"/>
      <c r="C30" s="702" t="s">
        <v>190</v>
      </c>
      <c r="D30" s="702"/>
      <c r="E30" s="702"/>
      <c r="F30" s="702"/>
      <c r="G30" s="703"/>
      <c r="H30" s="684"/>
      <c r="I30" s="685"/>
      <c r="J30" s="686"/>
      <c r="K30" s="687"/>
      <c r="L30" s="688"/>
      <c r="M30" s="687"/>
      <c r="N30" s="687"/>
    </row>
    <row r="31" spans="1:14" ht="18" customHeight="1" x14ac:dyDescent="0.25">
      <c r="A31" s="654"/>
      <c r="B31" s="656"/>
      <c r="C31" s="656"/>
      <c r="D31" s="656" t="s">
        <v>496</v>
      </c>
      <c r="E31" s="656"/>
      <c r="F31" s="656"/>
      <c r="G31" s="657"/>
      <c r="H31" s="658"/>
      <c r="I31" s="659"/>
      <c r="J31" s="660"/>
      <c r="K31" s="692"/>
      <c r="L31" s="693"/>
      <c r="M31" s="692"/>
      <c r="N31" s="692"/>
    </row>
    <row r="32" spans="1:14" ht="18" customHeight="1" x14ac:dyDescent="0.25">
      <c r="A32" s="654"/>
      <c r="B32" s="656"/>
      <c r="C32" s="656"/>
      <c r="D32" s="656"/>
      <c r="E32" s="656" t="s">
        <v>497</v>
      </c>
      <c r="F32" s="656"/>
      <c r="G32" s="657"/>
      <c r="H32" s="658"/>
      <c r="I32" s="659"/>
      <c r="J32" s="660"/>
      <c r="K32" s="692"/>
      <c r="L32" s="693"/>
      <c r="M32" s="692"/>
      <c r="N32" s="692"/>
    </row>
    <row r="33" spans="1:16" ht="18" customHeight="1" x14ac:dyDescent="0.25">
      <c r="A33" s="654"/>
      <c r="B33" s="656"/>
      <c r="C33" s="656"/>
      <c r="D33" s="656"/>
      <c r="E33" s="656"/>
      <c r="F33" s="656" t="s">
        <v>498</v>
      </c>
      <c r="G33" s="694" t="s">
        <v>785</v>
      </c>
      <c r="H33" s="658" t="s">
        <v>739</v>
      </c>
      <c r="I33" s="659" t="s">
        <v>753</v>
      </c>
      <c r="J33" s="660">
        <v>825010</v>
      </c>
      <c r="K33" s="692">
        <v>211157.5</v>
      </c>
      <c r="L33" s="693">
        <f>600000-K33</f>
        <v>388842.5</v>
      </c>
      <c r="M33" s="692">
        <f>L33+K33</f>
        <v>600000</v>
      </c>
      <c r="N33" s="692">
        <v>500000</v>
      </c>
    </row>
    <row r="34" spans="1:16" ht="18" customHeight="1" x14ac:dyDescent="0.25">
      <c r="A34" s="654"/>
      <c r="B34" s="656"/>
      <c r="C34" s="656"/>
      <c r="D34" s="656"/>
      <c r="E34" s="656"/>
      <c r="F34" s="656" t="s">
        <v>499</v>
      </c>
      <c r="G34" s="694" t="s">
        <v>786</v>
      </c>
      <c r="H34" s="658" t="s">
        <v>739</v>
      </c>
      <c r="I34" s="659" t="s">
        <v>753</v>
      </c>
      <c r="J34" s="660">
        <v>23235</v>
      </c>
      <c r="K34" s="692">
        <v>6400</v>
      </c>
      <c r="L34" s="693">
        <f>25000-K34</f>
        <v>18600</v>
      </c>
      <c r="M34" s="692">
        <f>L34+K34</f>
        <v>25000</v>
      </c>
      <c r="N34" s="692">
        <v>25000</v>
      </c>
    </row>
    <row r="35" spans="1:16" ht="18" customHeight="1" x14ac:dyDescent="0.25">
      <c r="A35" s="654"/>
      <c r="B35" s="656"/>
      <c r="C35" s="656"/>
      <c r="D35" s="656"/>
      <c r="E35" s="656"/>
      <c r="F35" s="656" t="s">
        <v>500</v>
      </c>
      <c r="G35" s="694" t="s">
        <v>787</v>
      </c>
      <c r="H35" s="658" t="s">
        <v>739</v>
      </c>
      <c r="I35" s="659" t="s">
        <v>753</v>
      </c>
      <c r="J35" s="660">
        <v>17340</v>
      </c>
      <c r="K35" s="692">
        <v>2835</v>
      </c>
      <c r="L35" s="693">
        <f>15000-K35</f>
        <v>12165</v>
      </c>
      <c r="M35" s="692">
        <f>L35+K35</f>
        <v>15000</v>
      </c>
      <c r="N35" s="692">
        <v>17000</v>
      </c>
    </row>
    <row r="36" spans="1:16" ht="18" customHeight="1" x14ac:dyDescent="0.25">
      <c r="A36" s="654"/>
      <c r="B36" s="656"/>
      <c r="C36" s="656"/>
      <c r="D36" s="656"/>
      <c r="E36" s="656" t="s">
        <v>501</v>
      </c>
      <c r="F36" s="656"/>
      <c r="G36" s="694" t="s">
        <v>767</v>
      </c>
      <c r="H36" s="658" t="s">
        <v>740</v>
      </c>
      <c r="I36" s="659" t="s">
        <v>753</v>
      </c>
      <c r="J36" s="660">
        <v>108912</v>
      </c>
      <c r="K36" s="692">
        <v>40750</v>
      </c>
      <c r="L36" s="693">
        <f>95000-K36</f>
        <v>54250</v>
      </c>
      <c r="M36" s="692">
        <f>L36+K36</f>
        <v>95000</v>
      </c>
      <c r="N36" s="692">
        <v>100000</v>
      </c>
    </row>
    <row r="37" spans="1:16" ht="18" customHeight="1" x14ac:dyDescent="0.25">
      <c r="A37" s="654"/>
      <c r="B37" s="656"/>
      <c r="C37" s="656"/>
      <c r="D37" s="656"/>
      <c r="E37" s="656" t="s">
        <v>502</v>
      </c>
      <c r="F37" s="656"/>
      <c r="G37" s="657"/>
      <c r="H37" s="658"/>
      <c r="I37" s="659"/>
      <c r="J37" s="660"/>
      <c r="K37" s="692"/>
      <c r="L37" s="693"/>
      <c r="M37" s="692"/>
      <c r="N37" s="692"/>
    </row>
    <row r="38" spans="1:16" ht="18" customHeight="1" x14ac:dyDescent="0.25">
      <c r="A38" s="654"/>
      <c r="B38" s="656"/>
      <c r="C38" s="656"/>
      <c r="D38" s="656"/>
      <c r="E38" s="656"/>
      <c r="F38" s="656" t="s">
        <v>503</v>
      </c>
      <c r="G38" s="694" t="s">
        <v>788</v>
      </c>
      <c r="H38" s="658" t="s">
        <v>741</v>
      </c>
      <c r="I38" s="659" t="s">
        <v>753</v>
      </c>
      <c r="J38" s="660">
        <v>125850</v>
      </c>
      <c r="K38" s="692">
        <v>50200</v>
      </c>
      <c r="L38" s="693">
        <f>120000-K38</f>
        <v>69800</v>
      </c>
      <c r="M38" s="692">
        <f>L38+K38</f>
        <v>120000</v>
      </c>
      <c r="N38" s="692">
        <v>125000</v>
      </c>
    </row>
    <row r="39" spans="1:16" ht="18" customHeight="1" x14ac:dyDescent="0.25">
      <c r="A39" s="654"/>
      <c r="B39" s="656"/>
      <c r="C39" s="656"/>
      <c r="D39" s="656"/>
      <c r="E39" s="656"/>
      <c r="F39" s="656" t="s">
        <v>504</v>
      </c>
      <c r="G39" s="694" t="s">
        <v>789</v>
      </c>
      <c r="H39" s="658" t="s">
        <v>741</v>
      </c>
      <c r="I39" s="659" t="s">
        <v>753</v>
      </c>
      <c r="J39" s="660">
        <v>507590</v>
      </c>
      <c r="K39" s="692">
        <v>323235</v>
      </c>
      <c r="L39" s="693">
        <v>5000</v>
      </c>
      <c r="M39" s="692">
        <f>L39+K39</f>
        <v>328235</v>
      </c>
      <c r="N39" s="692">
        <v>330000</v>
      </c>
    </row>
    <row r="40" spans="1:16" ht="18" customHeight="1" x14ac:dyDescent="0.25">
      <c r="A40" s="654"/>
      <c r="B40" s="656"/>
      <c r="C40" s="656"/>
      <c r="D40" s="656"/>
      <c r="E40" s="656"/>
      <c r="F40" s="656" t="s">
        <v>505</v>
      </c>
      <c r="G40" s="694" t="s">
        <v>790</v>
      </c>
      <c r="H40" s="658" t="s">
        <v>741</v>
      </c>
      <c r="I40" s="659" t="s">
        <v>753</v>
      </c>
      <c r="J40" s="660">
        <v>432086.06</v>
      </c>
      <c r="K40" s="692">
        <v>108058</v>
      </c>
      <c r="L40" s="693">
        <f>275000-K40</f>
        <v>166942</v>
      </c>
      <c r="M40" s="692">
        <f>L40+K40</f>
        <v>275000</v>
      </c>
      <c r="N40" s="692">
        <v>300000</v>
      </c>
    </row>
    <row r="41" spans="1:16" ht="18" customHeight="1" x14ac:dyDescent="0.25">
      <c r="A41" s="654"/>
      <c r="B41" s="656"/>
      <c r="C41" s="656"/>
      <c r="D41" s="656"/>
      <c r="E41" s="656" t="s">
        <v>506</v>
      </c>
      <c r="F41" s="656"/>
      <c r="G41" s="657"/>
      <c r="H41" s="658"/>
      <c r="I41" s="659"/>
      <c r="J41" s="660"/>
      <c r="K41" s="692"/>
      <c r="L41" s="693"/>
      <c r="M41" s="692"/>
      <c r="N41" s="692"/>
    </row>
    <row r="42" spans="1:16" ht="18" customHeight="1" x14ac:dyDescent="0.25">
      <c r="A42" s="654"/>
      <c r="B42" s="656"/>
      <c r="C42" s="656"/>
      <c r="D42" s="656"/>
      <c r="E42" s="656"/>
      <c r="F42" s="656" t="s">
        <v>507</v>
      </c>
      <c r="G42" s="694" t="s">
        <v>791</v>
      </c>
      <c r="H42" s="658" t="s">
        <v>742</v>
      </c>
      <c r="I42" s="659" t="s">
        <v>753</v>
      </c>
      <c r="J42" s="660">
        <v>313395</v>
      </c>
      <c r="K42" s="692">
        <v>207326</v>
      </c>
      <c r="L42" s="693">
        <f>300000-K42</f>
        <v>92674</v>
      </c>
      <c r="M42" s="692">
        <f>L42+K42</f>
        <v>300000</v>
      </c>
      <c r="N42" s="692">
        <v>320000</v>
      </c>
    </row>
    <row r="43" spans="1:16" ht="18" customHeight="1" x14ac:dyDescent="0.25">
      <c r="A43" s="654"/>
      <c r="B43" s="656"/>
      <c r="C43" s="656"/>
      <c r="D43" s="656"/>
      <c r="E43" s="656"/>
      <c r="F43" s="656" t="s">
        <v>508</v>
      </c>
      <c r="G43" s="694" t="s">
        <v>792</v>
      </c>
      <c r="H43" s="658" t="s">
        <v>742</v>
      </c>
      <c r="I43" s="659" t="s">
        <v>753</v>
      </c>
      <c r="J43" s="660">
        <v>409901.3</v>
      </c>
      <c r="K43" s="692">
        <v>191976.55</v>
      </c>
      <c r="L43" s="693">
        <f>200000-K43</f>
        <v>8023.4500000000116</v>
      </c>
      <c r="M43" s="692">
        <f>L43+K43</f>
        <v>200000</v>
      </c>
      <c r="N43" s="692">
        <v>200000</v>
      </c>
    </row>
    <row r="44" spans="1:16" ht="18" customHeight="1" x14ac:dyDescent="0.25">
      <c r="A44" s="654"/>
      <c r="B44" s="656"/>
      <c r="C44" s="656"/>
      <c r="D44" s="656"/>
      <c r="E44" s="656"/>
      <c r="F44" s="656" t="s">
        <v>509</v>
      </c>
      <c r="G44" s="694" t="s">
        <v>793</v>
      </c>
      <c r="H44" s="658" t="s">
        <v>742</v>
      </c>
      <c r="I44" s="659" t="s">
        <v>753</v>
      </c>
      <c r="J44" s="660">
        <v>61172</v>
      </c>
      <c r="K44" s="692">
        <v>26700</v>
      </c>
      <c r="L44" s="693">
        <f>60000-K44</f>
        <v>33300</v>
      </c>
      <c r="M44" s="692">
        <f>L44+K44</f>
        <v>60000</v>
      </c>
      <c r="N44" s="692">
        <v>60000</v>
      </c>
    </row>
    <row r="45" spans="1:16" ht="18" customHeight="1" x14ac:dyDescent="0.25">
      <c r="A45" s="654"/>
      <c r="B45" s="656"/>
      <c r="C45" s="656"/>
      <c r="D45" s="656"/>
      <c r="E45" s="656"/>
      <c r="F45" s="656" t="s">
        <v>510</v>
      </c>
      <c r="G45" s="694" t="s">
        <v>794</v>
      </c>
      <c r="H45" s="658" t="s">
        <v>742</v>
      </c>
      <c r="I45" s="659" t="s">
        <v>753</v>
      </c>
      <c r="J45" s="660">
        <v>112614</v>
      </c>
      <c r="K45" s="692">
        <v>44060</v>
      </c>
      <c r="L45" s="693">
        <f>50000-K45</f>
        <v>5940</v>
      </c>
      <c r="M45" s="692">
        <f>L45+K45</f>
        <v>50000</v>
      </c>
      <c r="N45" s="692">
        <v>50000</v>
      </c>
    </row>
    <row r="46" spans="1:16" ht="18" customHeight="1" x14ac:dyDescent="0.25">
      <c r="A46" s="654"/>
      <c r="B46" s="656"/>
      <c r="C46" s="656"/>
      <c r="D46" s="656"/>
      <c r="E46" s="656" t="s">
        <v>511</v>
      </c>
      <c r="F46" s="656"/>
      <c r="G46" s="694" t="s">
        <v>795</v>
      </c>
      <c r="H46" s="658" t="s">
        <v>743</v>
      </c>
      <c r="I46" s="659" t="s">
        <v>753</v>
      </c>
      <c r="J46" s="660">
        <v>180150</v>
      </c>
      <c r="K46" s="692">
        <v>182850</v>
      </c>
      <c r="L46" s="693">
        <f>200000-K46</f>
        <v>17150</v>
      </c>
      <c r="M46" s="692">
        <f>L46+K46</f>
        <v>200000</v>
      </c>
      <c r="N46" s="692">
        <v>250000</v>
      </c>
      <c r="P46" s="1317"/>
    </row>
    <row r="47" spans="1:16" ht="18" customHeight="1" x14ac:dyDescent="0.25">
      <c r="A47" s="654"/>
      <c r="B47" s="656"/>
      <c r="C47" s="656"/>
      <c r="D47" s="656"/>
      <c r="E47" s="656" t="s">
        <v>512</v>
      </c>
      <c r="F47" s="656"/>
      <c r="G47" s="657"/>
      <c r="H47" s="658"/>
      <c r="I47" s="659"/>
      <c r="J47" s="660"/>
      <c r="K47" s="692"/>
      <c r="L47" s="693"/>
      <c r="M47" s="692"/>
      <c r="N47" s="692"/>
      <c r="P47" s="1318"/>
    </row>
    <row r="48" spans="1:16" ht="18" customHeight="1" x14ac:dyDescent="0.25">
      <c r="A48" s="654"/>
      <c r="B48" s="656"/>
      <c r="C48" s="656"/>
      <c r="D48" s="656"/>
      <c r="E48" s="656"/>
      <c r="F48" s="656" t="s">
        <v>513</v>
      </c>
      <c r="G48" s="694" t="s">
        <v>796</v>
      </c>
      <c r="H48" s="658" t="s">
        <v>744</v>
      </c>
      <c r="I48" s="659" t="s">
        <v>753</v>
      </c>
      <c r="J48" s="660">
        <v>30830</v>
      </c>
      <c r="K48" s="692">
        <v>6500</v>
      </c>
      <c r="L48" s="693">
        <f>55000-K48</f>
        <v>48500</v>
      </c>
      <c r="M48" s="692">
        <f>L48+K48</f>
        <v>55000</v>
      </c>
      <c r="N48" s="692">
        <v>55000</v>
      </c>
      <c r="P48" s="1318"/>
    </row>
    <row r="49" spans="1:14" ht="18" customHeight="1" x14ac:dyDescent="0.25">
      <c r="A49" s="654"/>
      <c r="B49" s="656"/>
      <c r="C49" s="656"/>
      <c r="D49" s="656"/>
      <c r="E49" s="656"/>
      <c r="F49" s="656" t="s">
        <v>514</v>
      </c>
      <c r="G49" s="694" t="s">
        <v>797</v>
      </c>
      <c r="H49" s="658" t="s">
        <v>745</v>
      </c>
      <c r="I49" s="659" t="s">
        <v>753</v>
      </c>
      <c r="J49" s="660">
        <v>84000</v>
      </c>
      <c r="K49" s="692">
        <v>23500</v>
      </c>
      <c r="L49" s="693">
        <f>35000-K49</f>
        <v>11500</v>
      </c>
      <c r="M49" s="692">
        <f>L49+K49</f>
        <v>35000</v>
      </c>
      <c r="N49" s="692">
        <v>35000</v>
      </c>
    </row>
    <row r="50" spans="1:14" ht="18" customHeight="1" x14ac:dyDescent="0.25">
      <c r="A50" s="654"/>
      <c r="B50" s="656"/>
      <c r="C50" s="656"/>
      <c r="D50" s="656"/>
      <c r="E50" s="656"/>
      <c r="F50" s="656" t="s">
        <v>515</v>
      </c>
      <c r="G50" s="694" t="s">
        <v>798</v>
      </c>
      <c r="H50" s="658" t="s">
        <v>745</v>
      </c>
      <c r="I50" s="659" t="s">
        <v>753</v>
      </c>
      <c r="J50" s="660">
        <v>55600</v>
      </c>
      <c r="K50" s="692">
        <v>22600</v>
      </c>
      <c r="L50" s="693">
        <f>45000-K50</f>
        <v>22400</v>
      </c>
      <c r="M50" s="692">
        <f>L50+K50</f>
        <v>45000</v>
      </c>
      <c r="N50" s="692">
        <v>45000</v>
      </c>
    </row>
    <row r="51" spans="1:14" ht="18" customHeight="1" x14ac:dyDescent="0.25">
      <c r="A51" s="654"/>
      <c r="B51" s="656"/>
      <c r="C51" s="656"/>
      <c r="D51" s="656" t="s">
        <v>516</v>
      </c>
      <c r="E51" s="656"/>
      <c r="F51" s="656"/>
      <c r="G51" s="657"/>
      <c r="H51" s="658"/>
      <c r="I51" s="659"/>
      <c r="J51" s="660"/>
      <c r="K51" s="692"/>
      <c r="L51" s="693"/>
      <c r="M51" s="692"/>
      <c r="N51" s="692"/>
    </row>
    <row r="52" spans="1:14" ht="18" customHeight="1" x14ac:dyDescent="0.25">
      <c r="A52" s="654"/>
      <c r="B52" s="656"/>
      <c r="C52" s="656"/>
      <c r="D52" s="656"/>
      <c r="E52" s="656" t="s">
        <v>517</v>
      </c>
      <c r="F52" s="656"/>
      <c r="G52" s="657"/>
      <c r="H52" s="658"/>
      <c r="I52" s="659"/>
      <c r="J52" s="660"/>
      <c r="K52" s="692"/>
      <c r="L52" s="693"/>
      <c r="M52" s="692"/>
      <c r="N52" s="692"/>
    </row>
    <row r="53" spans="1:14" ht="18" customHeight="1" x14ac:dyDescent="0.25">
      <c r="A53" s="654"/>
      <c r="B53" s="656"/>
      <c r="C53" s="656"/>
      <c r="D53" s="656"/>
      <c r="E53" s="656"/>
      <c r="F53" s="656" t="s">
        <v>518</v>
      </c>
      <c r="G53" s="694" t="s">
        <v>799</v>
      </c>
      <c r="H53" s="658" t="s">
        <v>746</v>
      </c>
      <c r="I53" s="659" t="s">
        <v>753</v>
      </c>
      <c r="J53" s="660">
        <v>238494</v>
      </c>
      <c r="K53" s="692">
        <v>96281.82</v>
      </c>
      <c r="L53" s="693">
        <f>155000-K53</f>
        <v>58718.179999999993</v>
      </c>
      <c r="M53" s="692">
        <f t="shared" ref="M53:M59" si="0">L53+K53</f>
        <v>155000</v>
      </c>
      <c r="N53" s="692">
        <v>155000</v>
      </c>
    </row>
    <row r="54" spans="1:14" ht="18" customHeight="1" x14ac:dyDescent="0.25">
      <c r="A54" s="654"/>
      <c r="B54" s="656"/>
      <c r="C54" s="656"/>
      <c r="D54" s="656"/>
      <c r="E54" s="656" t="s">
        <v>519</v>
      </c>
      <c r="F54" s="656"/>
      <c r="G54" s="694" t="s">
        <v>800</v>
      </c>
      <c r="H54" s="658" t="s">
        <v>747</v>
      </c>
      <c r="I54" s="659" t="s">
        <v>753</v>
      </c>
      <c r="J54" s="660">
        <v>129480</v>
      </c>
      <c r="K54" s="692">
        <v>110890</v>
      </c>
      <c r="L54" s="693">
        <f>160000-K54</f>
        <v>49110</v>
      </c>
      <c r="M54" s="692">
        <f t="shared" si="0"/>
        <v>160000</v>
      </c>
      <c r="N54" s="692">
        <v>160000</v>
      </c>
    </row>
    <row r="55" spans="1:14" ht="18" customHeight="1" x14ac:dyDescent="0.25">
      <c r="A55" s="654"/>
      <c r="B55" s="656"/>
      <c r="C55" s="656"/>
      <c r="D55" s="656"/>
      <c r="E55" s="656" t="s">
        <v>520</v>
      </c>
      <c r="F55" s="656"/>
      <c r="G55" s="694" t="s">
        <v>770</v>
      </c>
      <c r="H55" s="658" t="s">
        <v>748</v>
      </c>
      <c r="I55" s="659" t="s">
        <v>753</v>
      </c>
      <c r="J55" s="660">
        <v>393530</v>
      </c>
      <c r="K55" s="692">
        <v>195881</v>
      </c>
      <c r="L55" s="693">
        <f>290000-K55</f>
        <v>94119</v>
      </c>
      <c r="M55" s="692">
        <f t="shared" si="0"/>
        <v>290000</v>
      </c>
      <c r="N55" s="692">
        <v>300000</v>
      </c>
    </row>
    <row r="56" spans="1:14" ht="18" customHeight="1" x14ac:dyDescent="0.25">
      <c r="A56" s="654"/>
      <c r="B56" s="656"/>
      <c r="C56" s="656"/>
      <c r="D56" s="656"/>
      <c r="E56" s="656" t="s">
        <v>521</v>
      </c>
      <c r="F56" s="656"/>
      <c r="G56" s="694" t="s">
        <v>801</v>
      </c>
      <c r="H56" s="658" t="s">
        <v>749</v>
      </c>
      <c r="I56" s="659" t="s">
        <v>753</v>
      </c>
      <c r="J56" s="660">
        <v>196252.02</v>
      </c>
      <c r="K56" s="692">
        <v>43020.99</v>
      </c>
      <c r="L56" s="693">
        <f>230000-K56</f>
        <v>186979.01</v>
      </c>
      <c r="M56" s="692">
        <f t="shared" si="0"/>
        <v>230000</v>
      </c>
      <c r="N56" s="692">
        <v>150000</v>
      </c>
    </row>
    <row r="57" spans="1:14" ht="18" customHeight="1" x14ac:dyDescent="0.25">
      <c r="A57" s="654"/>
      <c r="B57" s="656"/>
      <c r="C57" s="656"/>
      <c r="D57" s="656"/>
      <c r="E57" s="656" t="s">
        <v>522</v>
      </c>
      <c r="F57" s="656"/>
      <c r="G57" s="694" t="s">
        <v>796</v>
      </c>
      <c r="H57" s="658" t="s">
        <v>744</v>
      </c>
      <c r="I57" s="659" t="s">
        <v>753</v>
      </c>
      <c r="J57" s="660">
        <v>550395.77</v>
      </c>
      <c r="K57" s="692">
        <v>196354</v>
      </c>
      <c r="L57" s="693">
        <f>550000-K57</f>
        <v>353646</v>
      </c>
      <c r="M57" s="692">
        <f t="shared" si="0"/>
        <v>550000</v>
      </c>
      <c r="N57" s="692">
        <v>560000</v>
      </c>
    </row>
    <row r="58" spans="1:14" ht="18" customHeight="1" x14ac:dyDescent="0.25">
      <c r="A58" s="654"/>
      <c r="B58" s="656"/>
      <c r="C58" s="656"/>
      <c r="D58" s="656"/>
      <c r="E58" s="656" t="s">
        <v>523</v>
      </c>
      <c r="F58" s="656"/>
      <c r="G58" s="704" t="s">
        <v>766</v>
      </c>
      <c r="H58" s="658" t="s">
        <v>734</v>
      </c>
      <c r="I58" s="659" t="s">
        <v>753</v>
      </c>
      <c r="J58" s="660">
        <v>17975</v>
      </c>
      <c r="K58" s="692">
        <v>8750</v>
      </c>
      <c r="L58" s="693">
        <f>75000-K58</f>
        <v>66250</v>
      </c>
      <c r="M58" s="692">
        <f t="shared" si="0"/>
        <v>75000</v>
      </c>
      <c r="N58" s="692">
        <v>80000</v>
      </c>
    </row>
    <row r="59" spans="1:14" ht="18" customHeight="1" thickBot="1" x14ac:dyDescent="0.3">
      <c r="A59" s="663"/>
      <c r="B59" s="664"/>
      <c r="C59" s="664"/>
      <c r="D59" s="664"/>
      <c r="E59" s="664" t="s">
        <v>602</v>
      </c>
      <c r="F59" s="664"/>
      <c r="G59" s="695" t="s">
        <v>802</v>
      </c>
      <c r="H59" s="666" t="s">
        <v>750</v>
      </c>
      <c r="I59" s="667" t="s">
        <v>753</v>
      </c>
      <c r="J59" s="696">
        <v>0</v>
      </c>
      <c r="K59" s="697">
        <v>0</v>
      </c>
      <c r="L59" s="697">
        <v>0</v>
      </c>
      <c r="M59" s="697">
        <f t="shared" si="0"/>
        <v>0</v>
      </c>
      <c r="N59" s="697"/>
    </row>
    <row r="60" spans="1:14" s="1316" customFormat="1" ht="18" customHeight="1" thickBot="1" x14ac:dyDescent="0.3">
      <c r="A60" s="705"/>
      <c r="B60" s="674"/>
      <c r="C60" s="674" t="s">
        <v>8</v>
      </c>
      <c r="D60" s="674"/>
      <c r="E60" s="674"/>
      <c r="F60" s="674"/>
      <c r="G60" s="675"/>
      <c r="H60" s="676"/>
      <c r="I60" s="677"/>
      <c r="J60" s="699">
        <f>SUM(J31:J59)</f>
        <v>4813812.1500000004</v>
      </c>
      <c r="K60" s="699">
        <f>SUM(K31:K59)</f>
        <v>2099325.8600000003</v>
      </c>
      <c r="L60" s="700">
        <f>SUM(L31:L59)</f>
        <v>1763909.14</v>
      </c>
      <c r="M60" s="699">
        <f>SUM(M31:M59)</f>
        <v>3863235</v>
      </c>
      <c r="N60" s="699">
        <f>SUM(N31:N59)</f>
        <v>3817000</v>
      </c>
    </row>
    <row r="61" spans="1:14" ht="18" customHeight="1" x14ac:dyDescent="0.25">
      <c r="A61" s="701"/>
      <c r="B61" s="702" t="s">
        <v>524</v>
      </c>
      <c r="C61" s="702"/>
      <c r="D61" s="702"/>
      <c r="E61" s="702"/>
      <c r="F61" s="702"/>
      <c r="G61" s="703"/>
      <c r="H61" s="684"/>
      <c r="I61" s="685"/>
      <c r="J61" s="686">
        <f>SUM(J60+J29)</f>
        <v>9481619.8900000006</v>
      </c>
      <c r="K61" s="686">
        <f>SUM(K60+K29)</f>
        <v>4657292.370000001</v>
      </c>
      <c r="L61" s="706">
        <f>SUM(L60+L29)</f>
        <v>4470942.63</v>
      </c>
      <c r="M61" s="686">
        <f>SUM(M60+M29)</f>
        <v>9128235</v>
      </c>
      <c r="N61" s="686">
        <f>SUM(N60+N29)</f>
        <v>9112000</v>
      </c>
    </row>
    <row r="62" spans="1:14" ht="18" customHeight="1" x14ac:dyDescent="0.25">
      <c r="A62" s="654"/>
      <c r="B62" s="690" t="s">
        <v>526</v>
      </c>
      <c r="C62" s="656"/>
      <c r="D62" s="656"/>
      <c r="E62" s="656"/>
      <c r="F62" s="656"/>
      <c r="G62" s="657"/>
      <c r="H62" s="658"/>
      <c r="I62" s="659"/>
      <c r="J62" s="660"/>
      <c r="K62" s="692"/>
      <c r="L62" s="693"/>
      <c r="M62" s="692"/>
      <c r="N62" s="692"/>
    </row>
    <row r="63" spans="1:14" ht="18" customHeight="1" x14ac:dyDescent="0.25">
      <c r="A63" s="654"/>
      <c r="B63" s="656"/>
      <c r="C63" s="656" t="s">
        <v>527</v>
      </c>
      <c r="D63" s="656"/>
      <c r="E63" s="656"/>
      <c r="F63" s="656"/>
      <c r="G63" s="694" t="s">
        <v>803</v>
      </c>
      <c r="H63" s="658" t="s">
        <v>751</v>
      </c>
      <c r="I63" s="659" t="s">
        <v>753</v>
      </c>
      <c r="J63" s="660">
        <v>137842621</v>
      </c>
      <c r="K63" s="692">
        <v>77518998</v>
      </c>
      <c r="L63" s="693">
        <f>155037996-K63</f>
        <v>77518998</v>
      </c>
      <c r="M63" s="692">
        <f>L63+K63</f>
        <v>155037996</v>
      </c>
      <c r="N63" s="692">
        <v>165000000</v>
      </c>
    </row>
    <row r="64" spans="1:14" ht="18" customHeight="1" thickBot="1" x14ac:dyDescent="0.3">
      <c r="A64" s="663"/>
      <c r="B64" s="664"/>
      <c r="C64" s="664" t="s">
        <v>528</v>
      </c>
      <c r="D64" s="664"/>
      <c r="E64" s="664"/>
      <c r="F64" s="664"/>
      <c r="G64" s="695" t="s">
        <v>804</v>
      </c>
      <c r="H64" s="666" t="s">
        <v>752</v>
      </c>
      <c r="I64" s="667" t="s">
        <v>805</v>
      </c>
      <c r="J64" s="696">
        <v>0</v>
      </c>
      <c r="K64" s="697">
        <v>0</v>
      </c>
      <c r="L64" s="697">
        <v>0</v>
      </c>
      <c r="M64" s="697">
        <f>L64+K64</f>
        <v>0</v>
      </c>
      <c r="N64" s="697">
        <v>0</v>
      </c>
    </row>
    <row r="65" spans="1:14" ht="18" customHeight="1" thickBot="1" x14ac:dyDescent="0.3">
      <c r="A65" s="707"/>
      <c r="B65" s="674" t="s">
        <v>529</v>
      </c>
      <c r="C65" s="674"/>
      <c r="D65" s="674"/>
      <c r="E65" s="674"/>
      <c r="F65" s="674"/>
      <c r="G65" s="675"/>
      <c r="H65" s="676"/>
      <c r="I65" s="677"/>
      <c r="J65" s="699">
        <f>SUM(J63:J64)</f>
        <v>137842621</v>
      </c>
      <c r="K65" s="699">
        <f>SUM(K63:K64)</f>
        <v>77518998</v>
      </c>
      <c r="L65" s="700">
        <f>SUM(L63:L64)</f>
        <v>77518998</v>
      </c>
      <c r="M65" s="699">
        <f>SUM(M63:M64)</f>
        <v>155037996</v>
      </c>
      <c r="N65" s="708">
        <f>SUM(N63:N64)</f>
        <v>165000000</v>
      </c>
    </row>
    <row r="66" spans="1:14" s="1316" customFormat="1" ht="18" customHeight="1" thickBot="1" x14ac:dyDescent="0.3">
      <c r="A66" s="707" t="s">
        <v>9</v>
      </c>
      <c r="B66" s="674"/>
      <c r="C66" s="674"/>
      <c r="D66" s="674"/>
      <c r="E66" s="674"/>
      <c r="F66" s="674"/>
      <c r="G66" s="675"/>
      <c r="H66" s="676"/>
      <c r="I66" s="677"/>
      <c r="J66" s="699">
        <f>SUM(J65+J60+J29+J14)</f>
        <v>161803989.45000002</v>
      </c>
      <c r="K66" s="699">
        <f>SUM(K65+K60+K29+K14)</f>
        <v>82176290.370000005</v>
      </c>
      <c r="L66" s="700">
        <f>SUM(L65+L60+L29+L14)</f>
        <v>81989940.629999995</v>
      </c>
      <c r="M66" s="699">
        <f>SUM(M65+M60+M29+M14)</f>
        <v>182264085.30000001</v>
      </c>
      <c r="N66" s="708">
        <f>SUM(N65+N60+N29+N14)</f>
        <v>174112000</v>
      </c>
    </row>
    <row r="67" spans="1:14" s="1316" customFormat="1" ht="18" customHeight="1" x14ac:dyDescent="0.25">
      <c r="A67" s="709"/>
      <c r="B67" s="709"/>
      <c r="C67" s="709"/>
      <c r="D67" s="709"/>
      <c r="E67" s="709"/>
      <c r="F67" s="709"/>
      <c r="G67" s="872"/>
      <c r="H67" s="880"/>
      <c r="I67" s="710"/>
      <c r="J67" s="711"/>
      <c r="K67" s="711"/>
      <c r="L67" s="712"/>
      <c r="M67" s="712"/>
      <c r="N67" s="711"/>
    </row>
    <row r="68" spans="1:14" s="1316" customFormat="1" ht="18" customHeight="1" x14ac:dyDescent="0.25">
      <c r="A68" s="709"/>
      <c r="B68" s="709"/>
      <c r="C68" s="709"/>
      <c r="D68" s="709"/>
      <c r="E68" s="709"/>
      <c r="F68" s="709"/>
      <c r="G68" s="872"/>
      <c r="H68" s="880"/>
      <c r="I68" s="710"/>
      <c r="J68" s="711"/>
      <c r="K68" s="711"/>
      <c r="L68" s="712"/>
      <c r="M68" s="712"/>
      <c r="N68" s="711"/>
    </row>
    <row r="69" spans="1:14" s="1316" customFormat="1" ht="18" customHeight="1" x14ac:dyDescent="0.25">
      <c r="A69" s="709"/>
      <c r="B69" s="709"/>
      <c r="C69" s="709"/>
      <c r="D69" s="709"/>
      <c r="E69" s="709"/>
      <c r="F69" s="709"/>
      <c r="G69" s="872"/>
      <c r="H69" s="880"/>
      <c r="I69" s="710"/>
      <c r="J69" s="711"/>
      <c r="K69" s="711"/>
      <c r="L69" s="712"/>
      <c r="M69" s="712"/>
      <c r="N69" s="711"/>
    </row>
    <row r="70" spans="1:14" s="1316" customFormat="1" ht="18" customHeight="1" x14ac:dyDescent="0.25">
      <c r="A70" s="709"/>
      <c r="B70" s="709"/>
      <c r="C70" s="709"/>
      <c r="D70" s="709"/>
      <c r="E70" s="709"/>
      <c r="F70" s="709"/>
      <c r="G70" s="872"/>
      <c r="H70" s="880"/>
      <c r="I70" s="710"/>
      <c r="J70" s="711"/>
      <c r="K70" s="711"/>
      <c r="L70" s="712"/>
      <c r="M70" s="712">
        <f>146834345+35000</f>
        <v>146869345</v>
      </c>
      <c r="N70" s="711"/>
    </row>
    <row r="71" spans="1:14" s="1319" customFormat="1" ht="20.100000000000001" customHeight="1" x14ac:dyDescent="0.35">
      <c r="A71" s="1065" t="s">
        <v>994</v>
      </c>
      <c r="B71" s="1065"/>
      <c r="C71" s="1065"/>
      <c r="D71" s="1065"/>
      <c r="E71" s="1065"/>
      <c r="F71" s="1065"/>
      <c r="G71" s="1065"/>
      <c r="H71" s="1065"/>
      <c r="I71" s="1065"/>
      <c r="J71" s="1065"/>
      <c r="K71" s="1065"/>
      <c r="L71" s="1065"/>
      <c r="M71" s="1065"/>
      <c r="N71" s="1065"/>
    </row>
    <row r="72" spans="1:14" s="1316" customFormat="1" ht="18" customHeight="1" x14ac:dyDescent="0.2">
      <c r="A72" s="19"/>
      <c r="B72" s="626"/>
      <c r="C72" s="626"/>
      <c r="D72" s="626"/>
      <c r="E72" s="626"/>
      <c r="F72" s="626"/>
      <c r="G72" s="875"/>
      <c r="H72" s="626"/>
      <c r="I72" s="627"/>
      <c r="J72" s="626"/>
      <c r="K72" s="626"/>
      <c r="L72" s="628"/>
      <c r="M72" s="628"/>
      <c r="N72" s="629"/>
    </row>
    <row r="73" spans="1:14" s="1316" customFormat="1" ht="18" customHeight="1" x14ac:dyDescent="0.2">
      <c r="A73" s="1070" t="s">
        <v>583</v>
      </c>
      <c r="B73" s="1070"/>
      <c r="C73" s="1070"/>
      <c r="D73" s="1070"/>
      <c r="E73" s="1070"/>
      <c r="F73" s="1070"/>
      <c r="G73" s="1070"/>
      <c r="H73" s="1070"/>
      <c r="I73" s="1070"/>
      <c r="J73" s="1070"/>
      <c r="K73" s="1070"/>
      <c r="L73" s="1070"/>
      <c r="M73" s="1070"/>
      <c r="N73" s="1070"/>
    </row>
    <row r="74" spans="1:14" s="1316" customFormat="1" ht="18" customHeight="1" x14ac:dyDescent="0.2">
      <c r="A74" s="1070" t="s">
        <v>364</v>
      </c>
      <c r="B74" s="1070"/>
      <c r="C74" s="1070"/>
      <c r="D74" s="1070"/>
      <c r="E74" s="1070"/>
      <c r="F74" s="1070"/>
      <c r="G74" s="1070"/>
      <c r="H74" s="1070"/>
      <c r="I74" s="1070"/>
      <c r="J74" s="1070"/>
      <c r="K74" s="1070"/>
      <c r="L74" s="1070"/>
      <c r="M74" s="1070"/>
      <c r="N74" s="1070"/>
    </row>
    <row r="75" spans="1:14" s="1316" customFormat="1" ht="18" customHeight="1" x14ac:dyDescent="0.2">
      <c r="A75" s="871"/>
      <c r="B75" s="871"/>
      <c r="C75" s="871"/>
      <c r="D75" s="871"/>
      <c r="E75" s="871"/>
      <c r="F75" s="871"/>
      <c r="G75" s="871"/>
      <c r="H75" s="871"/>
      <c r="I75" s="878"/>
      <c r="J75" s="871"/>
      <c r="K75" s="871"/>
      <c r="L75" s="630"/>
      <c r="M75" s="630"/>
      <c r="N75" s="871"/>
    </row>
    <row r="76" spans="1:14" s="1316" customFormat="1" ht="18" customHeight="1" thickBot="1" x14ac:dyDescent="0.25">
      <c r="A76" s="1070" t="s">
        <v>0</v>
      </c>
      <c r="B76" s="1070"/>
      <c r="C76" s="1070"/>
      <c r="D76" s="1070"/>
      <c r="E76" s="1070"/>
      <c r="F76" s="1070"/>
      <c r="G76" s="1070"/>
      <c r="H76" s="1070"/>
      <c r="I76" s="1070"/>
      <c r="J76" s="1070"/>
      <c r="K76" s="1070"/>
      <c r="L76" s="1070"/>
      <c r="M76" s="1070"/>
      <c r="N76" s="1070"/>
    </row>
    <row r="77" spans="1:14" s="1316" customFormat="1" ht="18" customHeight="1" x14ac:dyDescent="0.2">
      <c r="A77" s="631"/>
      <c r="B77" s="632"/>
      <c r="C77" s="632"/>
      <c r="D77" s="632"/>
      <c r="E77" s="632"/>
      <c r="F77" s="632"/>
      <c r="G77" s="633"/>
      <c r="H77" s="634"/>
      <c r="I77" s="634"/>
      <c r="J77" s="634"/>
      <c r="K77" s="1071"/>
      <c r="L77" s="1072"/>
      <c r="M77" s="1073"/>
      <c r="N77" s="635"/>
    </row>
    <row r="78" spans="1:14" s="1316" customFormat="1" ht="18" customHeight="1" x14ac:dyDescent="0.25">
      <c r="A78" s="1074" t="s">
        <v>3</v>
      </c>
      <c r="B78" s="1075"/>
      <c r="C78" s="1075"/>
      <c r="D78" s="1075"/>
      <c r="E78" s="1075"/>
      <c r="F78" s="1075"/>
      <c r="G78" s="636"/>
      <c r="H78" s="636" t="s">
        <v>1</v>
      </c>
      <c r="I78" s="637" t="s">
        <v>2</v>
      </c>
      <c r="J78" s="636" t="s">
        <v>6</v>
      </c>
      <c r="K78" s="1066" t="s">
        <v>641</v>
      </c>
      <c r="L78" s="1067"/>
      <c r="M78" s="1068"/>
      <c r="N78" s="638" t="s">
        <v>7</v>
      </c>
    </row>
    <row r="79" spans="1:14" s="1316" customFormat="1" ht="18" customHeight="1" x14ac:dyDescent="0.25">
      <c r="A79" s="639"/>
      <c r="B79" s="627"/>
      <c r="C79" s="627"/>
      <c r="D79" s="627"/>
      <c r="E79" s="627"/>
      <c r="F79" s="627"/>
      <c r="G79" s="640"/>
      <c r="H79" s="636" t="s">
        <v>4</v>
      </c>
      <c r="I79" s="637" t="s">
        <v>5</v>
      </c>
      <c r="J79" s="641">
        <v>2019</v>
      </c>
      <c r="K79" s="636" t="s">
        <v>579</v>
      </c>
      <c r="L79" s="642" t="s">
        <v>582</v>
      </c>
      <c r="M79" s="713" t="s">
        <v>1509</v>
      </c>
      <c r="N79" s="643">
        <v>2021</v>
      </c>
    </row>
    <row r="80" spans="1:14" s="1316" customFormat="1" ht="18" customHeight="1" x14ac:dyDescent="0.2">
      <c r="A80" s="639"/>
      <c r="B80" s="627"/>
      <c r="C80" s="627"/>
      <c r="D80" s="627"/>
      <c r="E80" s="627"/>
      <c r="F80" s="627"/>
      <c r="G80" s="640"/>
      <c r="H80" s="636"/>
      <c r="I80" s="636"/>
      <c r="J80" s="636" t="s">
        <v>579</v>
      </c>
      <c r="K80" s="636">
        <v>2020</v>
      </c>
      <c r="L80" s="636">
        <v>2020</v>
      </c>
      <c r="M80" s="642" t="s">
        <v>968</v>
      </c>
      <c r="N80" s="638" t="s">
        <v>584</v>
      </c>
    </row>
    <row r="81" spans="1:14" s="1316" customFormat="1" ht="18" customHeight="1" thickBot="1" x14ac:dyDescent="0.25">
      <c r="A81" s="1076"/>
      <c r="B81" s="1077"/>
      <c r="C81" s="1077"/>
      <c r="D81" s="1077"/>
      <c r="E81" s="1077"/>
      <c r="F81" s="1077"/>
      <c r="G81" s="644"/>
      <c r="H81" s="644"/>
      <c r="I81" s="644"/>
      <c r="J81" s="644"/>
      <c r="K81" s="644"/>
      <c r="L81" s="645"/>
      <c r="M81" s="645"/>
      <c r="N81" s="646"/>
    </row>
    <row r="82" spans="1:14" ht="18" customHeight="1" x14ac:dyDescent="0.25">
      <c r="A82" s="689" t="s">
        <v>530</v>
      </c>
      <c r="B82" s="690" t="s">
        <v>531</v>
      </c>
      <c r="C82" s="690"/>
      <c r="D82" s="690"/>
      <c r="E82" s="690"/>
      <c r="F82" s="690"/>
      <c r="G82" s="691"/>
      <c r="H82" s="658"/>
      <c r="I82" s="714"/>
      <c r="J82" s="660"/>
      <c r="K82" s="692"/>
      <c r="L82" s="693"/>
      <c r="M82" s="693"/>
      <c r="N82" s="692"/>
    </row>
    <row r="83" spans="1:14" ht="18" customHeight="1" x14ac:dyDescent="0.25">
      <c r="A83" s="689"/>
      <c r="B83" s="690" t="s">
        <v>372</v>
      </c>
      <c r="C83" s="690"/>
      <c r="D83" s="690"/>
      <c r="E83" s="690"/>
      <c r="F83" s="690"/>
      <c r="G83" s="657"/>
      <c r="H83" s="658"/>
      <c r="I83" s="714"/>
      <c r="J83" s="660"/>
      <c r="K83" s="692"/>
      <c r="L83" s="693"/>
      <c r="M83" s="693"/>
      <c r="N83" s="692"/>
    </row>
    <row r="84" spans="1:14" ht="18" customHeight="1" x14ac:dyDescent="0.25">
      <c r="A84" s="654"/>
      <c r="B84" s="656"/>
      <c r="C84" s="656" t="s">
        <v>532</v>
      </c>
      <c r="D84" s="656"/>
      <c r="E84" s="656"/>
      <c r="F84" s="656"/>
      <c r="G84" s="694"/>
      <c r="H84" s="658"/>
      <c r="I84" s="714"/>
      <c r="J84" s="660"/>
      <c r="K84" s="692"/>
      <c r="L84" s="693"/>
      <c r="M84" s="693"/>
      <c r="N84" s="692"/>
    </row>
    <row r="85" spans="1:14" ht="18" customHeight="1" x14ac:dyDescent="0.25">
      <c r="A85" s="654"/>
      <c r="B85" s="656"/>
      <c r="C85" s="656"/>
      <c r="D85" s="656" t="s">
        <v>533</v>
      </c>
      <c r="E85" s="656"/>
      <c r="F85" s="656"/>
      <c r="G85" s="694" t="s">
        <v>603</v>
      </c>
      <c r="H85" s="658" t="s">
        <v>698</v>
      </c>
      <c r="I85" s="714"/>
      <c r="J85" s="660">
        <v>34956578.240000002</v>
      </c>
      <c r="K85" s="692">
        <v>18286624.149999999</v>
      </c>
      <c r="L85" s="693">
        <f>37625404-K85</f>
        <v>19338779.850000001</v>
      </c>
      <c r="M85" s="692">
        <f>L85+K85</f>
        <v>37625404</v>
      </c>
      <c r="N85" s="692">
        <v>39678513</v>
      </c>
    </row>
    <row r="86" spans="1:14" ht="18" customHeight="1" x14ac:dyDescent="0.25">
      <c r="A86" s="654"/>
      <c r="B86" s="656"/>
      <c r="C86" s="656" t="s">
        <v>534</v>
      </c>
      <c r="D86" s="656"/>
      <c r="E86" s="656"/>
      <c r="F86" s="656"/>
      <c r="G86" s="657"/>
      <c r="H86" s="658"/>
      <c r="I86" s="714"/>
      <c r="J86" s="660"/>
      <c r="K86" s="692"/>
      <c r="L86" s="693"/>
      <c r="M86" s="692"/>
      <c r="N86" s="692"/>
    </row>
    <row r="87" spans="1:14" ht="18" customHeight="1" x14ac:dyDescent="0.25">
      <c r="A87" s="654"/>
      <c r="B87" s="656"/>
      <c r="C87" s="656"/>
      <c r="D87" s="656" t="s">
        <v>535</v>
      </c>
      <c r="E87" s="656"/>
      <c r="F87" s="656"/>
      <c r="G87" s="694" t="s">
        <v>604</v>
      </c>
      <c r="H87" s="658" t="s">
        <v>699</v>
      </c>
      <c r="I87" s="714"/>
      <c r="J87" s="660">
        <v>2204545.46</v>
      </c>
      <c r="K87" s="692">
        <v>1113818.18</v>
      </c>
      <c r="L87" s="693">
        <f>2352000-K87</f>
        <v>1238181.82</v>
      </c>
      <c r="M87" s="692">
        <f t="shared" ref="M87:M107" si="1">L87+K87</f>
        <v>2352000</v>
      </c>
      <c r="N87" s="692">
        <v>2400000</v>
      </c>
    </row>
    <row r="88" spans="1:14" ht="18" customHeight="1" x14ac:dyDescent="0.25">
      <c r="A88" s="654"/>
      <c r="B88" s="656"/>
      <c r="C88" s="656"/>
      <c r="D88" s="656" t="s">
        <v>546</v>
      </c>
      <c r="E88" s="656"/>
      <c r="F88" s="656"/>
      <c r="G88" s="694" t="s">
        <v>605</v>
      </c>
      <c r="H88" s="658" t="s">
        <v>700</v>
      </c>
      <c r="I88" s="714"/>
      <c r="J88" s="660">
        <v>1775205.68</v>
      </c>
      <c r="K88" s="692">
        <v>892500</v>
      </c>
      <c r="L88" s="693">
        <f>1785000-K88</f>
        <v>892500</v>
      </c>
      <c r="M88" s="692">
        <f t="shared" si="1"/>
        <v>1785000</v>
      </c>
      <c r="N88" s="692">
        <v>1785000</v>
      </c>
    </row>
    <row r="89" spans="1:14" ht="18" customHeight="1" x14ac:dyDescent="0.25">
      <c r="A89" s="654"/>
      <c r="B89" s="656"/>
      <c r="C89" s="656"/>
      <c r="D89" s="656" t="s">
        <v>545</v>
      </c>
      <c r="E89" s="656"/>
      <c r="F89" s="656"/>
      <c r="G89" s="694" t="s">
        <v>606</v>
      </c>
      <c r="H89" s="658" t="s">
        <v>701</v>
      </c>
      <c r="I89" s="714"/>
      <c r="J89" s="660">
        <v>1606538.63</v>
      </c>
      <c r="K89" s="692">
        <v>803250</v>
      </c>
      <c r="L89" s="693">
        <f>1785000-K89</f>
        <v>981750</v>
      </c>
      <c r="M89" s="692">
        <f t="shared" si="1"/>
        <v>1785000</v>
      </c>
      <c r="N89" s="692">
        <v>1785000</v>
      </c>
    </row>
    <row r="90" spans="1:14" ht="18" customHeight="1" x14ac:dyDescent="0.25">
      <c r="A90" s="654"/>
      <c r="B90" s="656"/>
      <c r="C90" s="656"/>
      <c r="D90" s="656" t="s">
        <v>547</v>
      </c>
      <c r="E90" s="656"/>
      <c r="F90" s="656"/>
      <c r="G90" s="694" t="s">
        <v>607</v>
      </c>
      <c r="H90" s="658" t="s">
        <v>702</v>
      </c>
      <c r="I90" s="714"/>
      <c r="J90" s="660">
        <v>552000</v>
      </c>
      <c r="K90" s="692">
        <v>546000</v>
      </c>
      <c r="L90" s="693">
        <f>588000-K90</f>
        <v>42000</v>
      </c>
      <c r="M90" s="692">
        <f t="shared" si="1"/>
        <v>588000</v>
      </c>
      <c r="N90" s="692">
        <v>600000</v>
      </c>
    </row>
    <row r="91" spans="1:14" ht="18" customHeight="1" x14ac:dyDescent="0.25">
      <c r="A91" s="654"/>
      <c r="B91" s="656"/>
      <c r="C91" s="656"/>
      <c r="D91" s="656" t="s">
        <v>548</v>
      </c>
      <c r="E91" s="656"/>
      <c r="F91" s="656"/>
      <c r="G91" s="694" t="s">
        <v>608</v>
      </c>
      <c r="H91" s="658" t="s">
        <v>719</v>
      </c>
      <c r="I91" s="714"/>
      <c r="J91" s="660">
        <v>262428.59999999998</v>
      </c>
      <c r="K91" s="692">
        <v>119859.97</v>
      </c>
      <c r="L91" s="693">
        <f>448200-K91</f>
        <v>328340.03000000003</v>
      </c>
      <c r="M91" s="692">
        <f t="shared" si="1"/>
        <v>448200</v>
      </c>
      <c r="N91" s="692">
        <v>448200</v>
      </c>
    </row>
    <row r="92" spans="1:14" ht="18" customHeight="1" x14ac:dyDescent="0.25">
      <c r="A92" s="654"/>
      <c r="B92" s="656"/>
      <c r="C92" s="656"/>
      <c r="D92" s="656" t="s">
        <v>806</v>
      </c>
      <c r="E92" s="656"/>
      <c r="F92" s="656"/>
      <c r="G92" s="694" t="s">
        <v>609</v>
      </c>
      <c r="H92" s="658" t="s">
        <v>703</v>
      </c>
      <c r="I92" s="714"/>
      <c r="J92" s="660">
        <v>457000</v>
      </c>
      <c r="K92" s="692">
        <v>0</v>
      </c>
      <c r="L92" s="693">
        <f>490000-K92</f>
        <v>490000</v>
      </c>
      <c r="M92" s="692">
        <f t="shared" si="1"/>
        <v>490000</v>
      </c>
      <c r="N92" s="692">
        <v>500000</v>
      </c>
    </row>
    <row r="93" spans="1:14" ht="18" customHeight="1" x14ac:dyDescent="0.25">
      <c r="A93" s="654"/>
      <c r="B93" s="656"/>
      <c r="C93" s="656"/>
      <c r="D93" s="656" t="s">
        <v>549</v>
      </c>
      <c r="E93" s="656"/>
      <c r="F93" s="715"/>
      <c r="G93" s="694" t="s">
        <v>440</v>
      </c>
      <c r="H93" s="658" t="s">
        <v>704</v>
      </c>
      <c r="I93" s="714"/>
      <c r="J93" s="660">
        <v>35000</v>
      </c>
      <c r="K93" s="692">
        <v>35000</v>
      </c>
      <c r="L93" s="693">
        <f>70000-K93</f>
        <v>35000</v>
      </c>
      <c r="M93" s="692">
        <f t="shared" si="1"/>
        <v>70000</v>
      </c>
      <c r="N93" s="692">
        <v>50000</v>
      </c>
    </row>
    <row r="94" spans="1:14" ht="18" customHeight="1" x14ac:dyDescent="0.25">
      <c r="A94" s="916"/>
      <c r="B94" s="716"/>
      <c r="C94" s="716"/>
      <c r="D94" s="716" t="s">
        <v>928</v>
      </c>
      <c r="E94" s="716"/>
      <c r="F94" s="716"/>
      <c r="G94" s="704" t="s">
        <v>440</v>
      </c>
      <c r="H94" s="717" t="s">
        <v>704</v>
      </c>
      <c r="I94" s="917"/>
      <c r="J94" s="918">
        <v>2706215</v>
      </c>
      <c r="K94" s="919">
        <f>3582077.81-256279.81-136748.62-56903.38-71279.5-37100.5</f>
        <v>3023766</v>
      </c>
      <c r="L94" s="920">
        <f>3671937.81-256279.81-136748.62-56903.38-71279.5-37100.5-K94</f>
        <v>89860</v>
      </c>
      <c r="M94" s="919">
        <f t="shared" si="1"/>
        <v>3113626</v>
      </c>
      <c r="N94" s="919">
        <v>3280904</v>
      </c>
    </row>
    <row r="95" spans="1:14" ht="18" customHeight="1" x14ac:dyDescent="0.25">
      <c r="A95" s="654"/>
      <c r="B95" s="656"/>
      <c r="C95" s="656"/>
      <c r="D95" s="656" t="s">
        <v>1562</v>
      </c>
      <c r="E95" s="656"/>
      <c r="F95" s="656"/>
      <c r="G95" s="694"/>
      <c r="H95" s="658" t="s">
        <v>704</v>
      </c>
      <c r="I95" s="714"/>
      <c r="J95" s="660">
        <v>1181119.28</v>
      </c>
      <c r="K95" s="692">
        <v>1690894.26</v>
      </c>
      <c r="L95" s="693">
        <f>1690894.26-K95</f>
        <v>0</v>
      </c>
      <c r="M95" s="692">
        <f t="shared" si="1"/>
        <v>1690894.26</v>
      </c>
      <c r="N95" s="692">
        <v>0</v>
      </c>
    </row>
    <row r="96" spans="1:14" ht="18" customHeight="1" x14ac:dyDescent="0.25">
      <c r="A96" s="916"/>
      <c r="B96" s="716"/>
      <c r="C96" s="716"/>
      <c r="D96" s="716" t="s">
        <v>551</v>
      </c>
      <c r="E96" s="716"/>
      <c r="F96" s="716"/>
      <c r="G96" s="704" t="s">
        <v>610</v>
      </c>
      <c r="H96" s="717" t="s">
        <v>720</v>
      </c>
      <c r="I96" s="917"/>
      <c r="J96" s="918">
        <v>657774.6</v>
      </c>
      <c r="K96" s="919">
        <v>769416.94</v>
      </c>
      <c r="L96" s="920">
        <f>1201656.8-K96</f>
        <v>432239.8600000001</v>
      </c>
      <c r="M96" s="919">
        <f t="shared" si="1"/>
        <v>1201656.8</v>
      </c>
      <c r="N96" s="919">
        <v>701656.8</v>
      </c>
    </row>
    <row r="97" spans="1:14" ht="18" customHeight="1" x14ac:dyDescent="0.25">
      <c r="A97" s="654"/>
      <c r="B97" s="656"/>
      <c r="C97" s="656"/>
      <c r="D97" s="656" t="s">
        <v>373</v>
      </c>
      <c r="E97" s="656"/>
      <c r="F97" s="656"/>
      <c r="G97" s="694" t="s">
        <v>611</v>
      </c>
      <c r="H97" s="658" t="s">
        <v>721</v>
      </c>
      <c r="I97" s="714"/>
      <c r="J97" s="660">
        <v>95870.67</v>
      </c>
      <c r="K97" s="692">
        <v>53492.31</v>
      </c>
      <c r="L97" s="693">
        <f>115000-K97</f>
        <v>61507.69</v>
      </c>
      <c r="M97" s="692">
        <f t="shared" si="1"/>
        <v>115000</v>
      </c>
      <c r="N97" s="692">
        <v>130000</v>
      </c>
    </row>
    <row r="98" spans="1:14" ht="18" customHeight="1" x14ac:dyDescent="0.25">
      <c r="A98" s="654"/>
      <c r="B98" s="656"/>
      <c r="C98" s="656"/>
      <c r="D98" s="656" t="s">
        <v>552</v>
      </c>
      <c r="E98" s="656"/>
      <c r="F98" s="656"/>
      <c r="G98" s="694" t="s">
        <v>612</v>
      </c>
      <c r="H98" s="658" t="s">
        <v>705</v>
      </c>
      <c r="I98" s="714"/>
      <c r="J98" s="660">
        <v>460000</v>
      </c>
      <c r="K98" s="692">
        <v>0</v>
      </c>
      <c r="L98" s="693">
        <f>490000-K98</f>
        <v>490000</v>
      </c>
      <c r="M98" s="692">
        <f t="shared" si="1"/>
        <v>490000</v>
      </c>
      <c r="N98" s="692">
        <v>500000</v>
      </c>
    </row>
    <row r="99" spans="1:14" ht="18" customHeight="1" x14ac:dyDescent="0.25">
      <c r="A99" s="654"/>
      <c r="B99" s="656"/>
      <c r="C99" s="656"/>
      <c r="D99" s="656" t="s">
        <v>553</v>
      </c>
      <c r="E99" s="656"/>
      <c r="F99" s="656"/>
      <c r="G99" s="694" t="s">
        <v>613</v>
      </c>
      <c r="H99" s="658" t="s">
        <v>706</v>
      </c>
      <c r="I99" s="714"/>
      <c r="J99" s="660">
        <v>2920833.8</v>
      </c>
      <c r="K99" s="692">
        <v>0</v>
      </c>
      <c r="L99" s="693">
        <f>3138899-K99</f>
        <v>3138899</v>
      </c>
      <c r="M99" s="692">
        <f t="shared" si="1"/>
        <v>3138899</v>
      </c>
      <c r="N99" s="692">
        <v>3289177</v>
      </c>
    </row>
    <row r="100" spans="1:14" ht="18" customHeight="1" x14ac:dyDescent="0.25">
      <c r="A100" s="654"/>
      <c r="B100" s="656"/>
      <c r="C100" s="656"/>
      <c r="D100" s="656" t="s">
        <v>669</v>
      </c>
      <c r="E100" s="656"/>
      <c r="F100" s="656"/>
      <c r="G100" s="694" t="s">
        <v>614</v>
      </c>
      <c r="H100" s="658" t="s">
        <v>707</v>
      </c>
      <c r="I100" s="714"/>
      <c r="J100" s="660">
        <v>4157725.58</v>
      </c>
      <c r="K100" s="692">
        <v>1652440.44</v>
      </c>
      <c r="L100" s="693">
        <f>4522050-K100</f>
        <v>2869609.56</v>
      </c>
      <c r="M100" s="692">
        <f t="shared" si="1"/>
        <v>4522050</v>
      </c>
      <c r="N100" s="692">
        <v>4777900</v>
      </c>
    </row>
    <row r="101" spans="1:14" ht="18" customHeight="1" x14ac:dyDescent="0.25">
      <c r="A101" s="654"/>
      <c r="B101" s="656"/>
      <c r="C101" s="656"/>
      <c r="D101" s="656" t="s">
        <v>554</v>
      </c>
      <c r="E101" s="656"/>
      <c r="F101" s="656"/>
      <c r="G101" s="694" t="s">
        <v>615</v>
      </c>
      <c r="H101" s="658" t="s">
        <v>708</v>
      </c>
      <c r="I101" s="714"/>
      <c r="J101" s="660">
        <v>110300</v>
      </c>
      <c r="K101" s="692">
        <v>46400</v>
      </c>
      <c r="L101" s="693">
        <f>117600-K101</f>
        <v>71200</v>
      </c>
      <c r="M101" s="692">
        <f t="shared" si="1"/>
        <v>117600</v>
      </c>
      <c r="N101" s="692">
        <v>180000</v>
      </c>
    </row>
    <row r="102" spans="1:14" ht="18" customHeight="1" x14ac:dyDescent="0.25">
      <c r="A102" s="654"/>
      <c r="B102" s="656"/>
      <c r="C102" s="656"/>
      <c r="D102" s="656" t="s">
        <v>555</v>
      </c>
      <c r="E102" s="656"/>
      <c r="F102" s="656"/>
      <c r="G102" s="694" t="s">
        <v>616</v>
      </c>
      <c r="H102" s="658" t="s">
        <v>709</v>
      </c>
      <c r="I102" s="714"/>
      <c r="J102" s="660">
        <v>343612.5</v>
      </c>
      <c r="K102" s="692">
        <v>194190</v>
      </c>
      <c r="L102" s="693">
        <f>570650-K102</f>
        <v>376460</v>
      </c>
      <c r="M102" s="692">
        <f t="shared" si="1"/>
        <v>570650</v>
      </c>
      <c r="N102" s="692">
        <v>705000</v>
      </c>
    </row>
    <row r="103" spans="1:14" ht="18" customHeight="1" x14ac:dyDescent="0.25">
      <c r="A103" s="654"/>
      <c r="B103" s="656"/>
      <c r="C103" s="656"/>
      <c r="D103" s="656" t="s">
        <v>665</v>
      </c>
      <c r="E103" s="656"/>
      <c r="F103" s="656"/>
      <c r="G103" s="694" t="s">
        <v>617</v>
      </c>
      <c r="H103" s="658" t="s">
        <v>710</v>
      </c>
      <c r="I103" s="714"/>
      <c r="J103" s="660">
        <v>110511.49</v>
      </c>
      <c r="K103" s="692">
        <v>44070.400000000001</v>
      </c>
      <c r="L103" s="693">
        <f>117600-K103</f>
        <v>73529.600000000006</v>
      </c>
      <c r="M103" s="692">
        <f t="shared" si="1"/>
        <v>117600</v>
      </c>
      <c r="N103" s="692">
        <v>120000</v>
      </c>
    </row>
    <row r="104" spans="1:14" ht="18" customHeight="1" x14ac:dyDescent="0.25">
      <c r="A104" s="654"/>
      <c r="B104" s="656"/>
      <c r="C104" s="656"/>
      <c r="D104" s="656" t="s">
        <v>378</v>
      </c>
      <c r="E104" s="656"/>
      <c r="F104" s="656"/>
      <c r="G104" s="694"/>
      <c r="H104" s="658" t="s">
        <v>711</v>
      </c>
      <c r="I104" s="714"/>
      <c r="J104" s="660">
        <v>1916263.62</v>
      </c>
      <c r="K104" s="692">
        <v>0</v>
      </c>
      <c r="L104" s="693">
        <f>267964.55-K104</f>
        <v>267964.55</v>
      </c>
      <c r="M104" s="692">
        <f t="shared" ref="M104" si="2">L104+K104</f>
        <v>267964.55</v>
      </c>
      <c r="N104" s="692">
        <v>1000000</v>
      </c>
    </row>
    <row r="105" spans="1:14" ht="18" customHeight="1" x14ac:dyDescent="0.25">
      <c r="A105" s="654"/>
      <c r="B105" s="656"/>
      <c r="C105" s="656"/>
      <c r="D105" s="656" t="s">
        <v>556</v>
      </c>
      <c r="E105" s="716"/>
      <c r="F105" s="716"/>
      <c r="G105" s="704" t="s">
        <v>619</v>
      </c>
      <c r="H105" s="717" t="s">
        <v>711</v>
      </c>
      <c r="I105" s="714"/>
      <c r="J105" s="660">
        <v>25000</v>
      </c>
      <c r="K105" s="692">
        <v>0</v>
      </c>
      <c r="L105" s="693">
        <f>25000-K105</f>
        <v>25000</v>
      </c>
      <c r="M105" s="692">
        <f t="shared" si="1"/>
        <v>25000</v>
      </c>
      <c r="N105" s="692">
        <v>25000</v>
      </c>
    </row>
    <row r="106" spans="1:14" ht="18" customHeight="1" x14ac:dyDescent="0.25">
      <c r="A106" s="939"/>
      <c r="B106" s="940"/>
      <c r="C106" s="940"/>
      <c r="D106" s="940" t="s">
        <v>557</v>
      </c>
      <c r="E106" s="940"/>
      <c r="F106" s="940"/>
      <c r="G106" s="941" t="s">
        <v>403</v>
      </c>
      <c r="H106" s="942" t="s">
        <v>722</v>
      </c>
      <c r="I106" s="943"/>
      <c r="J106" s="944">
        <v>2792578.69</v>
      </c>
      <c r="K106" s="945">
        <f>2821832.91+256279.81+136748.62+56903.38+71279.5+37100.5</f>
        <v>3380144.72</v>
      </c>
      <c r="L106" s="945">
        <f>2859411.64+256279.81+136748.62+56903.38+71279.5+37100.5-K106</f>
        <v>37578.729999999981</v>
      </c>
      <c r="M106" s="945">
        <f t="shared" ref="M106" si="3">L106+K106</f>
        <v>3417723.45</v>
      </c>
      <c r="N106" s="945">
        <f>2000000-1000000</f>
        <v>1000000</v>
      </c>
    </row>
    <row r="107" spans="1:14" ht="18" customHeight="1" thickBot="1" x14ac:dyDescent="0.3">
      <c r="A107" s="663"/>
      <c r="B107" s="664"/>
      <c r="C107" s="664"/>
      <c r="D107" s="664" t="s">
        <v>1563</v>
      </c>
      <c r="E107" s="664"/>
      <c r="F107" s="664"/>
      <c r="G107" s="695" t="s">
        <v>403</v>
      </c>
      <c r="H107" s="666" t="s">
        <v>722</v>
      </c>
      <c r="I107" s="718"/>
      <c r="J107" s="696">
        <v>1043000</v>
      </c>
      <c r="K107" s="697">
        <v>0</v>
      </c>
      <c r="L107" s="697">
        <f>0-K107</f>
        <v>0</v>
      </c>
      <c r="M107" s="697">
        <f t="shared" si="1"/>
        <v>0</v>
      </c>
      <c r="N107" s="697">
        <v>0</v>
      </c>
    </row>
    <row r="108" spans="1:14" s="1316" customFormat="1" ht="18" customHeight="1" thickBot="1" x14ac:dyDescent="0.3">
      <c r="A108" s="673"/>
      <c r="B108" s="674"/>
      <c r="C108" s="674"/>
      <c r="D108" s="674" t="s">
        <v>377</v>
      </c>
      <c r="E108" s="674"/>
      <c r="F108" s="674"/>
      <c r="G108" s="719"/>
      <c r="H108" s="676"/>
      <c r="I108" s="720"/>
      <c r="J108" s="699">
        <f>SUM(J85:J107)</f>
        <v>60370101.840000004</v>
      </c>
      <c r="K108" s="699">
        <f>SUM(K85:K107)</f>
        <v>32651867.369999997</v>
      </c>
      <c r="L108" s="700">
        <f>SUM(L85:L107)</f>
        <v>31280400.690000005</v>
      </c>
      <c r="M108" s="699">
        <f>SUM(M85:M107)</f>
        <v>63932268.059999995</v>
      </c>
      <c r="N108" s="699">
        <f>SUM(N85:N107)</f>
        <v>62956350.799999997</v>
      </c>
    </row>
    <row r="109" spans="1:14" s="1316" customFormat="1" ht="18" customHeight="1" x14ac:dyDescent="0.25">
      <c r="A109" s="681"/>
      <c r="B109" s="682"/>
      <c r="C109" s="682"/>
      <c r="D109" s="682"/>
      <c r="E109" s="682"/>
      <c r="F109" s="682"/>
      <c r="G109" s="721"/>
      <c r="H109" s="722"/>
      <c r="I109" s="723"/>
      <c r="J109" s="724"/>
      <c r="K109" s="724"/>
      <c r="L109" s="725"/>
      <c r="M109" s="724"/>
      <c r="N109" s="724"/>
    </row>
    <row r="110" spans="1:14" ht="18" customHeight="1" x14ac:dyDescent="0.25">
      <c r="A110" s="654"/>
      <c r="B110" s="690" t="s">
        <v>558</v>
      </c>
      <c r="C110" s="656"/>
      <c r="D110" s="656"/>
      <c r="E110" s="656"/>
      <c r="F110" s="656"/>
      <c r="G110" s="657"/>
      <c r="H110" s="658"/>
      <c r="I110" s="714"/>
      <c r="J110" s="660"/>
      <c r="K110" s="692"/>
      <c r="L110" s="693"/>
      <c r="M110" s="692"/>
      <c r="N110" s="692"/>
    </row>
    <row r="111" spans="1:14" ht="18" customHeight="1" x14ac:dyDescent="0.25">
      <c r="A111" s="654"/>
      <c r="B111" s="656"/>
      <c r="C111" s="656"/>
      <c r="D111" s="656" t="s">
        <v>559</v>
      </c>
      <c r="E111" s="656"/>
      <c r="F111" s="656"/>
      <c r="G111" s="694" t="s">
        <v>390</v>
      </c>
      <c r="H111" s="658" t="s">
        <v>712</v>
      </c>
      <c r="I111" s="714"/>
      <c r="J111" s="660">
        <v>2269120.6</v>
      </c>
      <c r="K111" s="692">
        <v>356455</v>
      </c>
      <c r="L111" s="693">
        <f>3460050-K111</f>
        <v>3103595</v>
      </c>
      <c r="M111" s="692">
        <f t="shared" ref="M111:M129" si="4">L111+K111</f>
        <v>3460050</v>
      </c>
      <c r="N111" s="692">
        <f>3339855-144000</f>
        <v>3195855</v>
      </c>
    </row>
    <row r="112" spans="1:14" ht="18" customHeight="1" x14ac:dyDescent="0.25">
      <c r="A112" s="654"/>
      <c r="B112" s="656"/>
      <c r="C112" s="656"/>
      <c r="D112" s="656" t="s">
        <v>436</v>
      </c>
      <c r="E112" s="656"/>
      <c r="F112" s="656"/>
      <c r="G112" s="694" t="s">
        <v>391</v>
      </c>
      <c r="H112" s="658" t="s">
        <v>713</v>
      </c>
      <c r="I112" s="714"/>
      <c r="J112" s="660">
        <v>1849497</v>
      </c>
      <c r="K112" s="692">
        <v>370250</v>
      </c>
      <c r="L112" s="693">
        <f>2556000-K112</f>
        <v>2185750</v>
      </c>
      <c r="M112" s="692">
        <f t="shared" si="4"/>
        <v>2556000</v>
      </c>
      <c r="N112" s="692">
        <f>2568100-16000</f>
        <v>2552100</v>
      </c>
    </row>
    <row r="113" spans="1:14" ht="18" customHeight="1" x14ac:dyDescent="0.25">
      <c r="A113" s="654"/>
      <c r="B113" s="656"/>
      <c r="C113" s="656"/>
      <c r="D113" s="656" t="s">
        <v>384</v>
      </c>
      <c r="E113" s="656"/>
      <c r="F113" s="656"/>
      <c r="G113" s="694" t="s">
        <v>393</v>
      </c>
      <c r="H113" s="658" t="s">
        <v>714</v>
      </c>
      <c r="I113" s="714"/>
      <c r="J113" s="660">
        <v>2464259.88</v>
      </c>
      <c r="K113" s="692">
        <v>995774.25</v>
      </c>
      <c r="L113" s="693">
        <f>3234568-K113</f>
        <v>2238793.75</v>
      </c>
      <c r="M113" s="692">
        <f t="shared" si="4"/>
        <v>3234568</v>
      </c>
      <c r="N113" s="692">
        <v>3322496</v>
      </c>
    </row>
    <row r="114" spans="1:14" ht="18" customHeight="1" x14ac:dyDescent="0.25">
      <c r="A114" s="654"/>
      <c r="B114" s="656"/>
      <c r="C114" s="656"/>
      <c r="D114" s="656" t="s">
        <v>560</v>
      </c>
      <c r="E114" s="656"/>
      <c r="F114" s="656"/>
      <c r="G114" s="694" t="s">
        <v>620</v>
      </c>
      <c r="H114" s="658" t="s">
        <v>723</v>
      </c>
      <c r="I114" s="714"/>
      <c r="J114" s="660">
        <v>180680</v>
      </c>
      <c r="K114" s="692">
        <v>89520</v>
      </c>
      <c r="L114" s="693">
        <f>200000-K114</f>
        <v>110480</v>
      </c>
      <c r="M114" s="692">
        <f t="shared" si="4"/>
        <v>200000</v>
      </c>
      <c r="N114" s="692">
        <v>200000</v>
      </c>
    </row>
    <row r="115" spans="1:14" ht="18" customHeight="1" x14ac:dyDescent="0.25">
      <c r="A115" s="654"/>
      <c r="B115" s="656"/>
      <c r="C115" s="656"/>
      <c r="D115" s="656" t="s">
        <v>561</v>
      </c>
      <c r="E115" s="656"/>
      <c r="F115" s="656"/>
      <c r="G115" s="694" t="s">
        <v>392</v>
      </c>
      <c r="H115" s="658" t="s">
        <v>724</v>
      </c>
      <c r="I115" s="714"/>
      <c r="J115" s="660">
        <v>2308783</v>
      </c>
      <c r="K115" s="692">
        <v>692067</v>
      </c>
      <c r="L115" s="693">
        <f>2314931-K115</f>
        <v>1622864</v>
      </c>
      <c r="M115" s="692">
        <f t="shared" si="4"/>
        <v>2314931</v>
      </c>
      <c r="N115" s="692">
        <v>2546423</v>
      </c>
    </row>
    <row r="116" spans="1:14" ht="18" customHeight="1" x14ac:dyDescent="0.25">
      <c r="A116" s="654"/>
      <c r="B116" s="656"/>
      <c r="C116" s="656"/>
      <c r="D116" s="656" t="s">
        <v>562</v>
      </c>
      <c r="E116" s="656"/>
      <c r="F116" s="656"/>
      <c r="G116" s="694" t="s">
        <v>404</v>
      </c>
      <c r="H116" s="658" t="s">
        <v>725</v>
      </c>
      <c r="I116" s="714"/>
      <c r="J116" s="660">
        <v>64910</v>
      </c>
      <c r="K116" s="692">
        <v>0</v>
      </c>
      <c r="L116" s="693">
        <f>162935-K116</f>
        <v>162935</v>
      </c>
      <c r="M116" s="692">
        <f t="shared" si="4"/>
        <v>162935</v>
      </c>
      <c r="N116" s="692">
        <v>179228</v>
      </c>
    </row>
    <row r="117" spans="1:14" ht="18" customHeight="1" x14ac:dyDescent="0.25">
      <c r="A117" s="654"/>
      <c r="B117" s="656"/>
      <c r="C117" s="656"/>
      <c r="D117" s="656" t="s">
        <v>948</v>
      </c>
      <c r="E117" s="656"/>
      <c r="F117" s="656"/>
      <c r="G117" s="694" t="s">
        <v>621</v>
      </c>
      <c r="H117" s="658" t="s">
        <v>726</v>
      </c>
      <c r="I117" s="714"/>
      <c r="J117" s="660">
        <v>134209.85</v>
      </c>
      <c r="K117" s="692">
        <v>28805.22</v>
      </c>
      <c r="L117" s="693">
        <f>750000-K117</f>
        <v>721194.78</v>
      </c>
      <c r="M117" s="692">
        <f t="shared" si="4"/>
        <v>750000</v>
      </c>
      <c r="N117" s="692">
        <f>750000</f>
        <v>750000</v>
      </c>
    </row>
    <row r="118" spans="1:14" ht="18" customHeight="1" x14ac:dyDescent="0.25">
      <c r="A118" s="654"/>
      <c r="B118" s="656"/>
      <c r="C118" s="656"/>
      <c r="D118" s="656" t="s">
        <v>563</v>
      </c>
      <c r="E118" s="656"/>
      <c r="F118" s="656"/>
      <c r="G118" s="694" t="s">
        <v>622</v>
      </c>
      <c r="H118" s="658" t="s">
        <v>715</v>
      </c>
      <c r="I118" s="714"/>
      <c r="J118" s="660">
        <v>674</v>
      </c>
      <c r="K118" s="692">
        <v>0</v>
      </c>
      <c r="L118" s="693">
        <f>28950-K118</f>
        <v>28950</v>
      </c>
      <c r="M118" s="692">
        <f t="shared" si="4"/>
        <v>28950</v>
      </c>
      <c r="N118" s="692">
        <v>27950</v>
      </c>
    </row>
    <row r="119" spans="1:14" ht="18" customHeight="1" x14ac:dyDescent="0.25">
      <c r="A119" s="654"/>
      <c r="B119" s="656"/>
      <c r="C119" s="656"/>
      <c r="D119" s="656" t="s">
        <v>564</v>
      </c>
      <c r="E119" s="656"/>
      <c r="F119" s="656"/>
      <c r="G119" s="694" t="s">
        <v>623</v>
      </c>
      <c r="H119" s="658" t="s">
        <v>716</v>
      </c>
      <c r="I119" s="714"/>
      <c r="J119" s="660">
        <v>28065.58</v>
      </c>
      <c r="K119" s="692">
        <v>13856.46</v>
      </c>
      <c r="L119" s="693">
        <f>80000-K119</f>
        <v>66143.540000000008</v>
      </c>
      <c r="M119" s="692">
        <f t="shared" si="4"/>
        <v>80000</v>
      </c>
      <c r="N119" s="692">
        <f>100000-20000+16000</f>
        <v>96000</v>
      </c>
    </row>
    <row r="120" spans="1:14" ht="18" customHeight="1" x14ac:dyDescent="0.25">
      <c r="A120" s="654"/>
      <c r="B120" s="656"/>
      <c r="C120" s="656"/>
      <c r="D120" s="656" t="s">
        <v>565</v>
      </c>
      <c r="E120" s="656"/>
      <c r="F120" s="656"/>
      <c r="G120" s="694" t="s">
        <v>394</v>
      </c>
      <c r="H120" s="658" t="s">
        <v>716</v>
      </c>
      <c r="I120" s="714"/>
      <c r="J120" s="660">
        <v>585000</v>
      </c>
      <c r="K120" s="692">
        <v>294000</v>
      </c>
      <c r="L120" s="693">
        <f>588000-K120</f>
        <v>294000</v>
      </c>
      <c r="M120" s="692">
        <f t="shared" si="4"/>
        <v>588000</v>
      </c>
      <c r="N120" s="692">
        <f>768000+144000</f>
        <v>912000</v>
      </c>
    </row>
    <row r="121" spans="1:14" ht="18" customHeight="1" x14ac:dyDescent="0.25">
      <c r="A121" s="654"/>
      <c r="B121" s="656"/>
      <c r="C121" s="656"/>
      <c r="D121" s="656" t="s">
        <v>566</v>
      </c>
      <c r="E121" s="656"/>
      <c r="F121" s="656"/>
      <c r="G121" s="694" t="s">
        <v>624</v>
      </c>
      <c r="H121" s="658" t="s">
        <v>727</v>
      </c>
      <c r="I121" s="714"/>
      <c r="J121" s="660">
        <v>119000</v>
      </c>
      <c r="K121" s="692">
        <v>209500</v>
      </c>
      <c r="L121" s="693">
        <f>500000-K121</f>
        <v>290500</v>
      </c>
      <c r="M121" s="692">
        <f t="shared" si="4"/>
        <v>500000</v>
      </c>
      <c r="N121" s="692">
        <f>500000+250000</f>
        <v>750000</v>
      </c>
    </row>
    <row r="122" spans="1:14" ht="18" customHeight="1" x14ac:dyDescent="0.25">
      <c r="A122" s="654"/>
      <c r="B122" s="656"/>
      <c r="C122" s="656"/>
      <c r="D122" s="656" t="s">
        <v>567</v>
      </c>
      <c r="E122" s="656"/>
      <c r="F122" s="656"/>
      <c r="G122" s="694" t="s">
        <v>625</v>
      </c>
      <c r="H122" s="658" t="s">
        <v>728</v>
      </c>
      <c r="I122" s="714"/>
      <c r="J122" s="660">
        <v>133999</v>
      </c>
      <c r="K122" s="692">
        <v>59908</v>
      </c>
      <c r="L122" s="693">
        <f>250000-K122</f>
        <v>190092</v>
      </c>
      <c r="M122" s="692">
        <f t="shared" si="4"/>
        <v>250000</v>
      </c>
      <c r="N122" s="692">
        <v>250000</v>
      </c>
    </row>
    <row r="123" spans="1:14" ht="18" customHeight="1" x14ac:dyDescent="0.25">
      <c r="A123" s="654"/>
      <c r="B123" s="656"/>
      <c r="C123" s="656"/>
      <c r="D123" s="656" t="s">
        <v>949</v>
      </c>
      <c r="E123" s="656"/>
      <c r="F123" s="656"/>
      <c r="G123" s="694" t="s">
        <v>626</v>
      </c>
      <c r="H123" s="658" t="s">
        <v>729</v>
      </c>
      <c r="I123" s="714"/>
      <c r="J123" s="660">
        <v>123589</v>
      </c>
      <c r="K123" s="692">
        <v>68170.210000000006</v>
      </c>
      <c r="L123" s="693">
        <f>300000-K123</f>
        <v>231829.78999999998</v>
      </c>
      <c r="M123" s="692">
        <f t="shared" si="4"/>
        <v>300000</v>
      </c>
      <c r="N123" s="692">
        <v>300000</v>
      </c>
    </row>
    <row r="124" spans="1:14" ht="18" customHeight="1" x14ac:dyDescent="0.25">
      <c r="A124" s="654"/>
      <c r="B124" s="656"/>
      <c r="C124" s="656"/>
      <c r="D124" s="656" t="s">
        <v>950</v>
      </c>
      <c r="E124" s="656"/>
      <c r="F124" s="656"/>
      <c r="G124" s="694" t="s">
        <v>395</v>
      </c>
      <c r="H124" s="658" t="s">
        <v>717</v>
      </c>
      <c r="I124" s="714"/>
      <c r="J124" s="660">
        <v>153520.95999999999</v>
      </c>
      <c r="K124" s="692">
        <v>37650</v>
      </c>
      <c r="L124" s="693">
        <f>803200-K124</f>
        <v>765550</v>
      </c>
      <c r="M124" s="692">
        <f t="shared" si="4"/>
        <v>803200</v>
      </c>
      <c r="N124" s="692">
        <f>815620+50000</f>
        <v>865620</v>
      </c>
    </row>
    <row r="125" spans="1:14" ht="18" customHeight="1" x14ac:dyDescent="0.25">
      <c r="A125" s="654"/>
      <c r="B125" s="656"/>
      <c r="C125" s="656"/>
      <c r="D125" s="656" t="s">
        <v>977</v>
      </c>
      <c r="E125" s="656"/>
      <c r="F125" s="656"/>
      <c r="G125" s="694"/>
      <c r="H125" s="658" t="s">
        <v>975</v>
      </c>
      <c r="I125" s="714"/>
      <c r="J125" s="660">
        <v>100000</v>
      </c>
      <c r="K125" s="692">
        <v>0</v>
      </c>
      <c r="L125" s="693">
        <f>150000-K125</f>
        <v>150000</v>
      </c>
      <c r="M125" s="692">
        <f t="shared" si="4"/>
        <v>150000</v>
      </c>
      <c r="N125" s="692">
        <v>150000</v>
      </c>
    </row>
    <row r="126" spans="1:14" ht="18" customHeight="1" x14ac:dyDescent="0.25">
      <c r="A126" s="654"/>
      <c r="B126" s="656"/>
      <c r="C126" s="656"/>
      <c r="D126" s="656" t="s">
        <v>569</v>
      </c>
      <c r="E126" s="656"/>
      <c r="F126" s="656"/>
      <c r="G126" s="694" t="s">
        <v>627</v>
      </c>
      <c r="H126" s="658" t="s">
        <v>730</v>
      </c>
      <c r="I126" s="714"/>
      <c r="J126" s="660">
        <v>52800</v>
      </c>
      <c r="K126" s="692"/>
      <c r="L126" s="693">
        <f>61036-K126</f>
        <v>61036</v>
      </c>
      <c r="M126" s="692">
        <f t="shared" si="4"/>
        <v>61036</v>
      </c>
      <c r="N126" s="692">
        <v>69366</v>
      </c>
    </row>
    <row r="127" spans="1:14" ht="18" customHeight="1" x14ac:dyDescent="0.25">
      <c r="A127" s="654"/>
      <c r="B127" s="656"/>
      <c r="C127" s="656"/>
      <c r="D127" s="656" t="s">
        <v>570</v>
      </c>
      <c r="E127" s="656"/>
      <c r="F127" s="656"/>
      <c r="G127" s="694" t="s">
        <v>628</v>
      </c>
      <c r="H127" s="658" t="s">
        <v>730</v>
      </c>
      <c r="I127" s="714"/>
      <c r="J127" s="660">
        <f>798990.03+528218</f>
        <v>1327208.03</v>
      </c>
      <c r="K127" s="692">
        <f>248575+195380</f>
        <v>443955</v>
      </c>
      <c r="L127" s="693">
        <f>2047932.2-K127</f>
        <v>1603977.2</v>
      </c>
      <c r="M127" s="692">
        <f t="shared" si="4"/>
        <v>2047932.2</v>
      </c>
      <c r="N127" s="692">
        <v>2685772.2</v>
      </c>
    </row>
    <row r="128" spans="1:14" ht="18" customHeight="1" x14ac:dyDescent="0.25">
      <c r="A128" s="654"/>
      <c r="B128" s="656"/>
      <c r="C128" s="656"/>
      <c r="D128" s="656" t="s">
        <v>571</v>
      </c>
      <c r="E128" s="656"/>
      <c r="F128" s="656"/>
      <c r="G128" s="694" t="s">
        <v>629</v>
      </c>
      <c r="H128" s="658" t="s">
        <v>731</v>
      </c>
      <c r="I128" s="714"/>
      <c r="J128" s="660">
        <v>99097.5</v>
      </c>
      <c r="K128" s="692">
        <v>4893.75</v>
      </c>
      <c r="L128" s="693">
        <f>120000-K128</f>
        <v>115106.25</v>
      </c>
      <c r="M128" s="692">
        <f t="shared" si="4"/>
        <v>120000</v>
      </c>
      <c r="N128" s="692">
        <v>120000</v>
      </c>
    </row>
    <row r="129" spans="1:14" ht="18" customHeight="1" thickBot="1" x14ac:dyDescent="0.3">
      <c r="A129" s="663"/>
      <c r="B129" s="664"/>
      <c r="C129" s="664"/>
      <c r="D129" s="664" t="s">
        <v>572</v>
      </c>
      <c r="E129" s="664"/>
      <c r="F129" s="664"/>
      <c r="G129" s="695" t="s">
        <v>396</v>
      </c>
      <c r="H129" s="666" t="s">
        <v>718</v>
      </c>
      <c r="I129" s="718"/>
      <c r="J129" s="696">
        <v>3160496.75</v>
      </c>
      <c r="K129" s="697">
        <v>145494.6</v>
      </c>
      <c r="L129" s="698">
        <f>567300-K129</f>
        <v>421805.4</v>
      </c>
      <c r="M129" s="697">
        <f t="shared" si="4"/>
        <v>567300</v>
      </c>
      <c r="N129" s="697">
        <v>687730</v>
      </c>
    </row>
    <row r="130" spans="1:14" s="1316" customFormat="1" ht="18" customHeight="1" thickBot="1" x14ac:dyDescent="0.3">
      <c r="A130" s="673"/>
      <c r="B130" s="674"/>
      <c r="C130" s="674"/>
      <c r="D130" s="674" t="s">
        <v>763</v>
      </c>
      <c r="E130" s="674"/>
      <c r="F130" s="674"/>
      <c r="G130" s="719"/>
      <c r="H130" s="676"/>
      <c r="I130" s="720"/>
      <c r="J130" s="699">
        <f>SUM(J111:J129)</f>
        <v>15154911.15</v>
      </c>
      <c r="K130" s="699">
        <f>SUM(K111:K129)</f>
        <v>3810299.49</v>
      </c>
      <c r="L130" s="700">
        <f>SUM(L111:L129)</f>
        <v>14364602.709999997</v>
      </c>
      <c r="M130" s="699">
        <f>SUM(M111:M129)</f>
        <v>18174902.199999999</v>
      </c>
      <c r="N130" s="699">
        <f>SUM(N111:N129)</f>
        <v>19660540.199999999</v>
      </c>
    </row>
    <row r="131" spans="1:14" ht="18" customHeight="1" x14ac:dyDescent="0.25">
      <c r="A131" s="701"/>
      <c r="B131" s="702"/>
      <c r="C131" s="702"/>
      <c r="D131" s="702"/>
      <c r="E131" s="702"/>
      <c r="F131" s="702"/>
      <c r="G131" s="726"/>
      <c r="H131" s="684"/>
      <c r="I131" s="727"/>
      <c r="J131" s="686"/>
      <c r="K131" s="687"/>
      <c r="L131" s="688"/>
      <c r="M131" s="687"/>
      <c r="N131" s="687"/>
    </row>
    <row r="132" spans="1:14" ht="18" customHeight="1" thickBot="1" x14ac:dyDescent="0.3">
      <c r="A132" s="663"/>
      <c r="B132" s="728" t="s">
        <v>573</v>
      </c>
      <c r="C132" s="728"/>
      <c r="D132" s="728"/>
      <c r="E132" s="728"/>
      <c r="F132" s="728"/>
      <c r="G132" s="695"/>
      <c r="H132" s="666"/>
      <c r="I132" s="718"/>
      <c r="J132" s="668"/>
      <c r="K132" s="669"/>
      <c r="L132" s="729"/>
      <c r="M132" s="669"/>
      <c r="N132" s="669"/>
    </row>
    <row r="133" spans="1:14" ht="18" customHeight="1" thickBot="1" x14ac:dyDescent="0.3">
      <c r="A133" s="705"/>
      <c r="B133" s="730"/>
      <c r="C133" s="730"/>
      <c r="D133" s="674" t="s">
        <v>764</v>
      </c>
      <c r="E133" s="730"/>
      <c r="F133" s="730"/>
      <c r="G133" s="731"/>
      <c r="H133" s="732"/>
      <c r="I133" s="733"/>
      <c r="J133" s="699">
        <v>2059342.6</v>
      </c>
      <c r="K133" s="678">
        <v>2033550.22</v>
      </c>
      <c r="L133" s="679">
        <f>15966000-K133</f>
        <v>13932449.779999999</v>
      </c>
      <c r="M133" s="678">
        <f>L133+K133</f>
        <v>15966000</v>
      </c>
      <c r="N133" s="678">
        <f>1375500+20000+160000+600000+5000000</f>
        <v>7155500</v>
      </c>
    </row>
    <row r="134" spans="1:14" ht="18" customHeight="1" x14ac:dyDescent="0.25">
      <c r="A134" s="701"/>
      <c r="B134" s="702"/>
      <c r="C134" s="702"/>
      <c r="D134" s="682"/>
      <c r="E134" s="702"/>
      <c r="F134" s="702"/>
      <c r="G134" s="726"/>
      <c r="H134" s="684"/>
      <c r="I134" s="727"/>
      <c r="J134" s="724"/>
      <c r="K134" s="734"/>
      <c r="L134" s="735"/>
      <c r="M134" s="734"/>
      <c r="N134" s="734"/>
    </row>
    <row r="135" spans="1:14" ht="18" customHeight="1" x14ac:dyDescent="0.25">
      <c r="A135" s="654"/>
      <c r="B135" s="690" t="s">
        <v>574</v>
      </c>
      <c r="C135" s="656"/>
      <c r="D135" s="656"/>
      <c r="E135" s="656"/>
      <c r="F135" s="656"/>
      <c r="G135" s="694"/>
      <c r="H135" s="658"/>
      <c r="I135" s="714"/>
      <c r="J135" s="660"/>
      <c r="K135" s="692"/>
      <c r="L135" s="693"/>
      <c r="M135" s="692"/>
      <c r="N135" s="692"/>
    </row>
    <row r="136" spans="1:14" ht="18" customHeight="1" x14ac:dyDescent="0.25">
      <c r="A136" s="654"/>
      <c r="B136" s="656"/>
      <c r="C136" s="656"/>
      <c r="D136" s="656" t="s">
        <v>575</v>
      </c>
      <c r="E136" s="656"/>
      <c r="F136" s="656"/>
      <c r="G136" s="694"/>
      <c r="H136" s="658"/>
      <c r="I136" s="714"/>
      <c r="J136" s="660">
        <v>17457017.170000002</v>
      </c>
      <c r="K136" s="736">
        <v>4516851.7300000004</v>
      </c>
      <c r="L136" s="737">
        <f>31028003.15-K136</f>
        <v>26511151.419999998</v>
      </c>
      <c r="M136" s="692">
        <f>L136+K136</f>
        <v>31028003.149999999</v>
      </c>
      <c r="N136" s="692">
        <f>'LBP NO. 2a'!K108</f>
        <v>33000000</v>
      </c>
    </row>
    <row r="137" spans="1:14" ht="18" customHeight="1" x14ac:dyDescent="0.25">
      <c r="A137" s="654"/>
      <c r="B137" s="656"/>
      <c r="C137" s="656"/>
      <c r="D137" s="656" t="s">
        <v>426</v>
      </c>
      <c r="E137" s="656"/>
      <c r="F137" s="656"/>
      <c r="G137" s="657"/>
      <c r="H137" s="658"/>
      <c r="I137" s="714"/>
      <c r="J137" s="660">
        <v>513640.62</v>
      </c>
      <c r="K137" s="736">
        <v>7391908.6500000004</v>
      </c>
      <c r="L137" s="737">
        <f>8206399.8-K137</f>
        <v>814491.14999999944</v>
      </c>
      <c r="M137" s="692">
        <f>L137+K137</f>
        <v>8206399.7999999998</v>
      </c>
      <c r="N137" s="692">
        <f>'LBP NO. 2a'!K109</f>
        <v>8705600</v>
      </c>
    </row>
    <row r="138" spans="1:14" ht="18" customHeight="1" x14ac:dyDescent="0.25">
      <c r="A138" s="654"/>
      <c r="B138" s="656"/>
      <c r="C138" s="656"/>
      <c r="D138" s="656" t="s">
        <v>576</v>
      </c>
      <c r="E138" s="656"/>
      <c r="F138" s="656"/>
      <c r="G138" s="657"/>
      <c r="H138" s="658"/>
      <c r="I138" s="714"/>
      <c r="J138" s="660">
        <v>21000</v>
      </c>
      <c r="K138" s="692">
        <v>0</v>
      </c>
      <c r="L138" s="693">
        <f>21000-K138</f>
        <v>21000</v>
      </c>
      <c r="M138" s="692">
        <f>L138+K138</f>
        <v>21000</v>
      </c>
      <c r="N138" s="692">
        <f>21000</f>
        <v>21000</v>
      </c>
    </row>
    <row r="139" spans="1:14" ht="18" customHeight="1" thickBot="1" x14ac:dyDescent="0.3">
      <c r="A139" s="663"/>
      <c r="B139" s="664"/>
      <c r="C139" s="664"/>
      <c r="D139" s="664" t="s">
        <v>577</v>
      </c>
      <c r="E139" s="664"/>
      <c r="F139" s="664"/>
      <c r="G139" s="665"/>
      <c r="H139" s="666"/>
      <c r="I139" s="718"/>
      <c r="J139" s="668">
        <f>34640532.76+3021389-J138</f>
        <v>37640921.759999998</v>
      </c>
      <c r="K139" s="669">
        <v>11866044.75</v>
      </c>
      <c r="L139" s="729">
        <f>41519321.25-L138-K139</f>
        <v>29632276.5</v>
      </c>
      <c r="M139" s="669">
        <f>L139+K139</f>
        <v>41498321.25</v>
      </c>
      <c r="N139" s="669">
        <f>SUM('LBP NO. 2a'!K41+'LBP NO. 2a'!K165)-N136-N137-N138</f>
        <v>42317450</v>
      </c>
    </row>
    <row r="140" spans="1:14" s="1316" customFormat="1" ht="18" customHeight="1" thickBot="1" x14ac:dyDescent="0.3">
      <c r="A140" s="673" t="s">
        <v>19</v>
      </c>
      <c r="B140" s="674"/>
      <c r="C140" s="674"/>
      <c r="D140" s="674"/>
      <c r="E140" s="674"/>
      <c r="F140" s="674"/>
      <c r="G140" s="675"/>
      <c r="H140" s="676"/>
      <c r="I140" s="720"/>
      <c r="J140" s="699">
        <f>SUM(J139+J138+J137+J136+J133+J130+J108)</f>
        <v>133216935.14</v>
      </c>
      <c r="K140" s="699">
        <f>SUM(K139+K138+K137+K136+K133+K130+K108)</f>
        <v>62270522.209999993</v>
      </c>
      <c r="L140" s="700">
        <f>SUM(L139+L138+L137+L136+L133+L130+L108)</f>
        <v>116556372.25</v>
      </c>
      <c r="M140" s="699">
        <f>SUM(M139+M138+M137+M136+M133+M130+M108)</f>
        <v>178826894.45999998</v>
      </c>
      <c r="N140" s="699">
        <f>SUM(N139+N138+N137+N136+N133+N130+N108)</f>
        <v>173816441</v>
      </c>
    </row>
    <row r="141" spans="1:14" s="1316" customFormat="1" ht="18" customHeight="1" thickBot="1" x14ac:dyDescent="0.3">
      <c r="A141" s="707" t="s">
        <v>578</v>
      </c>
      <c r="B141" s="674"/>
      <c r="C141" s="674"/>
      <c r="D141" s="674"/>
      <c r="E141" s="674"/>
      <c r="F141" s="674"/>
      <c r="G141" s="675"/>
      <c r="H141" s="676"/>
      <c r="I141" s="720"/>
      <c r="J141" s="738">
        <f>J66-J140</f>
        <v>28587054.310000017</v>
      </c>
      <c r="K141" s="738">
        <f>K66-K140</f>
        <v>19905768.160000011</v>
      </c>
      <c r="L141" s="804">
        <f>L66-L140</f>
        <v>-34566431.620000005</v>
      </c>
      <c r="M141" s="738">
        <f>M66-M140</f>
        <v>3437190.8400000334</v>
      </c>
      <c r="N141" s="739">
        <f>N66-N140</f>
        <v>295559</v>
      </c>
    </row>
    <row r="142" spans="1:14" ht="18" customHeight="1" x14ac:dyDescent="0.2">
      <c r="A142" s="626"/>
      <c r="B142" s="19"/>
      <c r="C142" s="626"/>
      <c r="D142" s="626"/>
      <c r="E142" s="626"/>
      <c r="F142" s="626"/>
      <c r="G142" s="875"/>
      <c r="H142" s="875"/>
      <c r="I142" s="740"/>
      <c r="J142" s="875"/>
      <c r="K142" s="741"/>
      <c r="L142" s="742"/>
      <c r="M142" s="742"/>
      <c r="N142" s="741"/>
    </row>
    <row r="143" spans="1:14" ht="18" customHeight="1" x14ac:dyDescent="0.2">
      <c r="A143" s="626"/>
      <c r="B143" s="19"/>
      <c r="C143" s="626"/>
      <c r="D143" s="626"/>
      <c r="E143" s="626"/>
      <c r="F143" s="626"/>
      <c r="G143" s="875"/>
      <c r="H143" s="875"/>
      <c r="I143" s="740"/>
      <c r="J143" s="875"/>
      <c r="K143" s="741"/>
      <c r="L143" s="742"/>
      <c r="M143" s="742"/>
      <c r="N143" s="741"/>
    </row>
    <row r="144" spans="1:14" ht="18" customHeight="1" x14ac:dyDescent="0.2">
      <c r="A144" s="626"/>
      <c r="B144" s="19"/>
      <c r="C144" s="626"/>
      <c r="D144" s="626"/>
      <c r="E144" s="626"/>
      <c r="F144" s="626"/>
      <c r="G144" s="875"/>
      <c r="H144" s="875"/>
      <c r="I144" s="740"/>
      <c r="J144" s="875"/>
      <c r="K144" s="741"/>
      <c r="L144" s="742"/>
      <c r="M144" s="742"/>
      <c r="N144" s="741"/>
    </row>
    <row r="145" spans="1:14" ht="20.100000000000001" customHeight="1" x14ac:dyDescent="0.35">
      <c r="A145" s="1065" t="s">
        <v>995</v>
      </c>
      <c r="B145" s="1065"/>
      <c r="C145" s="1065"/>
      <c r="D145" s="1065"/>
      <c r="E145" s="1065"/>
      <c r="F145" s="1065"/>
      <c r="G145" s="1065"/>
      <c r="H145" s="1065"/>
      <c r="I145" s="1065"/>
      <c r="J145" s="1065"/>
      <c r="K145" s="1065"/>
      <c r="L145" s="1065"/>
      <c r="M145" s="1065"/>
      <c r="N145" s="1065"/>
    </row>
    <row r="146" spans="1:14" ht="18" customHeight="1" x14ac:dyDescent="0.2">
      <c r="A146" s="626"/>
      <c r="B146" s="19"/>
      <c r="C146" s="626"/>
      <c r="D146" s="626"/>
      <c r="E146" s="626"/>
      <c r="F146" s="626"/>
      <c r="G146" s="875"/>
      <c r="H146" s="875"/>
      <c r="I146" s="740"/>
      <c r="J146" s="875"/>
      <c r="K146" s="741"/>
      <c r="L146" s="742"/>
      <c r="M146" s="742"/>
      <c r="N146" s="741"/>
    </row>
    <row r="147" spans="1:14" ht="18" customHeight="1" x14ac:dyDescent="0.2">
      <c r="A147" s="626"/>
      <c r="B147" s="19"/>
      <c r="C147" s="626"/>
      <c r="D147" s="626"/>
      <c r="E147" s="626"/>
      <c r="F147" s="626"/>
      <c r="G147" s="875"/>
      <c r="H147" s="875"/>
      <c r="I147" s="740"/>
      <c r="J147" s="875"/>
      <c r="K147" s="741"/>
      <c r="L147" s="742"/>
      <c r="M147" s="742"/>
      <c r="N147" s="741"/>
    </row>
    <row r="148" spans="1:14" ht="18" customHeight="1" x14ac:dyDescent="0.2">
      <c r="A148" s="626"/>
      <c r="B148" s="19"/>
      <c r="C148" s="626"/>
      <c r="D148" s="626"/>
      <c r="E148" s="626"/>
      <c r="F148" s="626"/>
      <c r="G148" s="875"/>
      <c r="H148" s="875"/>
      <c r="I148" s="740"/>
      <c r="J148" s="875"/>
      <c r="K148" s="741"/>
      <c r="L148" s="742"/>
      <c r="M148" s="742"/>
      <c r="N148" s="741"/>
    </row>
    <row r="149" spans="1:14" ht="18" customHeight="1" x14ac:dyDescent="0.2">
      <c r="A149" s="626"/>
      <c r="B149" s="19"/>
      <c r="C149" s="626"/>
      <c r="D149" s="626"/>
      <c r="E149" s="626"/>
      <c r="F149" s="626"/>
      <c r="G149" s="875"/>
      <c r="H149" s="875"/>
      <c r="I149" s="740"/>
      <c r="J149" s="875"/>
      <c r="K149" s="741"/>
      <c r="L149" s="742"/>
      <c r="M149" s="742"/>
      <c r="N149" s="741"/>
    </row>
    <row r="150" spans="1:14" ht="18" customHeight="1" x14ac:dyDescent="0.2">
      <c r="A150" s="626"/>
      <c r="B150" s="19"/>
      <c r="C150" s="626"/>
      <c r="D150" s="626"/>
      <c r="E150" s="626"/>
      <c r="F150" s="626"/>
      <c r="G150" s="875"/>
      <c r="H150" s="875"/>
      <c r="I150" s="740"/>
      <c r="J150" s="875"/>
      <c r="K150" s="741"/>
      <c r="L150" s="742"/>
      <c r="M150" s="742"/>
      <c r="N150" s="741"/>
    </row>
    <row r="151" spans="1:14" ht="18" customHeight="1" x14ac:dyDescent="0.2">
      <c r="A151" s="626"/>
      <c r="B151" s="19"/>
      <c r="C151" s="626"/>
      <c r="D151" s="626"/>
      <c r="E151" s="626"/>
      <c r="F151" s="626"/>
      <c r="G151" s="875"/>
      <c r="H151" s="875"/>
      <c r="I151" s="740"/>
      <c r="J151" s="875"/>
      <c r="K151" s="741"/>
      <c r="L151" s="742"/>
      <c r="M151" s="742"/>
      <c r="N151" s="741"/>
    </row>
    <row r="152" spans="1:14" ht="18" customHeight="1" x14ac:dyDescent="0.2">
      <c r="A152" s="626"/>
      <c r="B152" s="19"/>
      <c r="C152" s="626"/>
      <c r="D152" s="626"/>
      <c r="E152" s="626"/>
      <c r="F152" s="626"/>
      <c r="G152" s="875"/>
      <c r="H152" s="875"/>
      <c r="I152" s="740"/>
      <c r="J152" s="875"/>
      <c r="K152" s="741"/>
      <c r="L152" s="742"/>
      <c r="M152" s="742"/>
      <c r="N152" s="741"/>
    </row>
    <row r="153" spans="1:14" ht="18" customHeight="1" x14ac:dyDescent="0.2">
      <c r="A153" s="626"/>
      <c r="B153" s="19"/>
      <c r="C153" s="626"/>
      <c r="D153" s="626"/>
      <c r="E153" s="626"/>
      <c r="F153" s="626"/>
      <c r="G153" s="875"/>
      <c r="H153" s="875"/>
      <c r="I153" s="740"/>
      <c r="J153" s="875"/>
      <c r="K153" s="741"/>
      <c r="L153" s="742"/>
      <c r="M153" s="742"/>
      <c r="N153" s="741"/>
    </row>
    <row r="154" spans="1:14" ht="18" customHeight="1" x14ac:dyDescent="0.2">
      <c r="A154" s="626"/>
      <c r="B154" s="19"/>
      <c r="C154" s="626"/>
      <c r="D154" s="626"/>
      <c r="E154" s="626"/>
      <c r="F154" s="626"/>
      <c r="G154" s="875"/>
      <c r="H154" s="875"/>
      <c r="I154" s="740"/>
      <c r="J154" s="875"/>
      <c r="K154" s="741"/>
      <c r="L154" s="742"/>
      <c r="M154" s="742"/>
      <c r="N154" s="741"/>
    </row>
    <row r="155" spans="1:14" ht="18" customHeight="1" x14ac:dyDescent="0.2">
      <c r="A155" s="626"/>
      <c r="B155" s="19"/>
      <c r="C155" s="626"/>
      <c r="D155" s="626"/>
      <c r="E155" s="626"/>
      <c r="F155" s="626"/>
      <c r="G155" s="875"/>
      <c r="H155" s="875"/>
      <c r="I155" s="740"/>
      <c r="J155" s="875"/>
      <c r="K155" s="741"/>
      <c r="L155" s="742"/>
      <c r="M155" s="742"/>
      <c r="N155" s="741"/>
    </row>
    <row r="156" spans="1:14" ht="18" customHeight="1" x14ac:dyDescent="0.2">
      <c r="A156" s="626"/>
      <c r="B156" s="19"/>
      <c r="C156" s="626"/>
      <c r="D156" s="626"/>
      <c r="E156" s="626"/>
      <c r="F156" s="626"/>
      <c r="G156" s="875"/>
      <c r="H156" s="875"/>
      <c r="I156" s="740"/>
      <c r="J156" s="875"/>
      <c r="K156" s="741"/>
      <c r="L156" s="742"/>
      <c r="M156" s="742"/>
      <c r="N156" s="741"/>
    </row>
    <row r="157" spans="1:14" ht="18" customHeight="1" x14ac:dyDescent="0.2">
      <c r="A157" s="626"/>
      <c r="B157" s="19"/>
      <c r="C157" s="626"/>
      <c r="D157" s="626"/>
      <c r="E157" s="626"/>
      <c r="F157" s="626"/>
      <c r="G157" s="875"/>
      <c r="H157" s="875"/>
      <c r="I157" s="740"/>
      <c r="J157" s="875"/>
      <c r="K157" s="741"/>
      <c r="L157" s="742"/>
      <c r="M157" s="742"/>
      <c r="N157" s="741"/>
    </row>
    <row r="158" spans="1:14" ht="18" customHeight="1" x14ac:dyDescent="0.2">
      <c r="A158" s="626"/>
      <c r="B158" s="19"/>
      <c r="C158" s="626"/>
      <c r="D158" s="626"/>
      <c r="E158" s="626"/>
      <c r="F158" s="626"/>
      <c r="G158" s="875"/>
      <c r="H158" s="875"/>
      <c r="I158" s="740"/>
      <c r="J158" s="875"/>
      <c r="K158" s="741"/>
      <c r="L158" s="742"/>
      <c r="M158" s="742"/>
      <c r="N158" s="741"/>
    </row>
    <row r="159" spans="1:14" ht="18" customHeight="1" x14ac:dyDescent="0.2">
      <c r="A159" s="626"/>
      <c r="B159" s="19"/>
      <c r="C159" s="626"/>
      <c r="D159" s="626"/>
      <c r="E159" s="626"/>
      <c r="F159" s="626"/>
      <c r="G159" s="875"/>
      <c r="H159" s="875"/>
      <c r="I159" s="740"/>
      <c r="J159" s="875"/>
      <c r="K159" s="741"/>
      <c r="L159" s="742"/>
      <c r="M159" s="742"/>
      <c r="N159" s="741"/>
    </row>
    <row r="160" spans="1:14" ht="18" customHeight="1" x14ac:dyDescent="0.2">
      <c r="A160" s="626"/>
      <c r="B160" s="19"/>
      <c r="C160" s="626"/>
      <c r="D160" s="626"/>
      <c r="E160" s="626"/>
      <c r="F160" s="626"/>
      <c r="G160" s="875"/>
      <c r="H160" s="875"/>
      <c r="I160" s="740"/>
      <c r="J160" s="875"/>
      <c r="K160" s="741"/>
      <c r="L160" s="742"/>
      <c r="M160" s="742"/>
      <c r="N160" s="741"/>
    </row>
    <row r="161" spans="1:14" ht="18" customHeight="1" x14ac:dyDescent="0.2">
      <c r="A161" s="626"/>
      <c r="B161" s="19"/>
      <c r="C161" s="626"/>
      <c r="D161" s="626"/>
      <c r="E161" s="626"/>
      <c r="F161" s="626"/>
      <c r="G161" s="875"/>
      <c r="H161" s="875"/>
      <c r="I161" s="740"/>
      <c r="J161" s="875"/>
      <c r="K161" s="741"/>
      <c r="L161" s="742"/>
      <c r="M161" s="742"/>
      <c r="N161" s="741"/>
    </row>
    <row r="162" spans="1:14" ht="18" customHeight="1" x14ac:dyDescent="0.2">
      <c r="A162" s="626"/>
      <c r="B162" s="19"/>
      <c r="C162" s="626"/>
      <c r="D162" s="626"/>
      <c r="E162" s="626"/>
      <c r="F162" s="626"/>
      <c r="G162" s="875"/>
      <c r="H162" s="875"/>
      <c r="I162" s="740"/>
      <c r="J162" s="875"/>
      <c r="K162" s="741"/>
      <c r="L162" s="742"/>
      <c r="M162" s="742"/>
      <c r="N162" s="741"/>
    </row>
    <row r="163" spans="1:14" ht="18" customHeight="1" x14ac:dyDescent="0.2">
      <c r="A163" s="626"/>
      <c r="B163" s="19"/>
      <c r="C163" s="626"/>
      <c r="D163" s="626"/>
      <c r="E163" s="626"/>
      <c r="F163" s="626"/>
      <c r="G163" s="875"/>
      <c r="H163" s="875"/>
      <c r="I163" s="740"/>
      <c r="J163" s="875"/>
      <c r="K163" s="741"/>
      <c r="L163" s="742"/>
      <c r="M163" s="742"/>
      <c r="N163" s="741"/>
    </row>
    <row r="164" spans="1:14" ht="18" customHeight="1" x14ac:dyDescent="0.2">
      <c r="A164" s="626"/>
      <c r="B164" s="19"/>
      <c r="C164" s="626"/>
      <c r="D164" s="626"/>
      <c r="E164" s="626"/>
      <c r="F164" s="626"/>
      <c r="G164" s="875"/>
      <c r="H164" s="875"/>
      <c r="I164" s="740"/>
      <c r="J164" s="875"/>
      <c r="K164" s="741"/>
      <c r="L164" s="742"/>
      <c r="M164" s="742"/>
      <c r="N164" s="741"/>
    </row>
    <row r="165" spans="1:14" ht="18" customHeight="1" x14ac:dyDescent="0.2">
      <c r="A165" s="1085" t="s">
        <v>585</v>
      </c>
      <c r="B165" s="1085"/>
      <c r="C165" s="1085"/>
      <c r="D165" s="1085"/>
      <c r="E165" s="1085"/>
      <c r="F165" s="1085"/>
      <c r="G165" s="1085"/>
      <c r="H165" s="1085"/>
      <c r="I165" s="1085"/>
      <c r="J165" s="1085"/>
      <c r="K165" s="1085"/>
      <c r="L165" s="1085"/>
      <c r="M165" s="1085"/>
      <c r="N165" s="1085"/>
    </row>
    <row r="166" spans="1:14" ht="18" customHeight="1" x14ac:dyDescent="0.2">
      <c r="A166" s="743"/>
      <c r="B166" s="743"/>
      <c r="C166" s="743"/>
      <c r="D166" s="743"/>
      <c r="E166" s="743"/>
      <c r="F166" s="743"/>
      <c r="G166" s="743"/>
      <c r="H166" s="743"/>
      <c r="I166" s="877"/>
      <c r="J166" s="743"/>
      <c r="K166" s="743"/>
      <c r="L166" s="744"/>
      <c r="M166" s="744"/>
      <c r="N166" s="743"/>
    </row>
    <row r="167" spans="1:14" ht="18" customHeight="1" x14ac:dyDescent="0.2">
      <c r="A167" s="743"/>
      <c r="B167" s="745" t="s">
        <v>11</v>
      </c>
      <c r="C167" s="743"/>
      <c r="D167" s="743"/>
      <c r="E167" s="743"/>
      <c r="F167" s="743"/>
      <c r="G167" s="743"/>
      <c r="H167" s="743"/>
      <c r="I167" s="877"/>
      <c r="J167" s="743"/>
      <c r="K167" s="743"/>
      <c r="L167" s="744"/>
      <c r="M167" s="744"/>
      <c r="N167" s="743"/>
    </row>
    <row r="168" spans="1:14" ht="18" customHeight="1" x14ac:dyDescent="0.2">
      <c r="A168" s="743"/>
      <c r="B168" s="743"/>
      <c r="C168" s="743"/>
      <c r="D168" s="743"/>
      <c r="E168" s="743"/>
      <c r="F168" s="743"/>
      <c r="G168" s="743"/>
      <c r="H168" s="743"/>
      <c r="I168" s="877"/>
      <c r="J168" s="743"/>
      <c r="K168" s="743"/>
      <c r="L168" s="744"/>
      <c r="M168" s="744"/>
      <c r="N168" s="743"/>
    </row>
    <row r="169" spans="1:14" ht="18" customHeight="1" x14ac:dyDescent="0.2">
      <c r="A169" s="626"/>
      <c r="B169" s="19"/>
      <c r="C169" s="626"/>
      <c r="D169" s="626"/>
      <c r="E169" s="626"/>
      <c r="F169" s="626"/>
      <c r="G169" s="875"/>
      <c r="H169" s="875"/>
      <c r="I169" s="740"/>
      <c r="J169" s="875"/>
      <c r="K169" s="741"/>
      <c r="L169" s="742"/>
      <c r="M169" s="742"/>
      <c r="N169" s="741"/>
    </row>
    <row r="170" spans="1:14" ht="18" customHeight="1" x14ac:dyDescent="0.2">
      <c r="A170" s="626"/>
      <c r="B170" s="19"/>
      <c r="C170" s="626"/>
      <c r="F170" s="876" t="s">
        <v>91</v>
      </c>
      <c r="G170" s="876"/>
      <c r="H170" s="1083" t="s">
        <v>17</v>
      </c>
      <c r="I170" s="1083"/>
      <c r="J170" s="1083"/>
      <c r="K170" s="746" t="s">
        <v>53</v>
      </c>
      <c r="L170" s="742"/>
      <c r="M170" s="1086" t="s">
        <v>809</v>
      </c>
      <c r="N170" s="1086"/>
    </row>
    <row r="171" spans="1:14" ht="18" customHeight="1" x14ac:dyDescent="0.2">
      <c r="A171" s="626"/>
      <c r="B171" s="19"/>
      <c r="C171" s="626"/>
      <c r="F171" s="875" t="s">
        <v>1021</v>
      </c>
      <c r="G171" s="875"/>
      <c r="H171" s="1082" t="s">
        <v>18</v>
      </c>
      <c r="I171" s="1082"/>
      <c r="J171" s="1082"/>
      <c r="K171" s="747" t="s">
        <v>807</v>
      </c>
      <c r="L171" s="742"/>
      <c r="M171" s="1084" t="s">
        <v>248</v>
      </c>
      <c r="N171" s="1084"/>
    </row>
    <row r="172" spans="1:14" ht="18" customHeight="1" x14ac:dyDescent="0.2">
      <c r="A172" s="626"/>
      <c r="B172" s="19"/>
      <c r="C172" s="626"/>
      <c r="D172" s="626"/>
      <c r="E172" s="626"/>
      <c r="F172" s="626"/>
      <c r="G172" s="875"/>
      <c r="H172" s="875"/>
      <c r="I172" s="740"/>
      <c r="J172" s="875"/>
      <c r="K172" s="741"/>
      <c r="L172" s="742"/>
      <c r="M172" s="742"/>
      <c r="N172" s="741"/>
    </row>
    <row r="173" spans="1:14" ht="18" customHeight="1" x14ac:dyDescent="0.2">
      <c r="A173" s="626"/>
      <c r="B173" s="19"/>
      <c r="C173" s="626"/>
      <c r="D173" s="626"/>
      <c r="E173" s="626"/>
      <c r="F173" s="626"/>
      <c r="G173" s="875"/>
      <c r="H173" s="875"/>
      <c r="I173" s="740"/>
      <c r="J173" s="875"/>
      <c r="K173" s="741"/>
      <c r="L173" s="742"/>
      <c r="M173" s="742"/>
      <c r="N173" s="741"/>
    </row>
    <row r="174" spans="1:14" ht="18" customHeight="1" x14ac:dyDescent="0.2">
      <c r="A174" s="626"/>
      <c r="B174" s="19"/>
      <c r="C174" s="626"/>
      <c r="E174" s="626"/>
      <c r="F174" s="626" t="s">
        <v>264</v>
      </c>
      <c r="G174" s="875"/>
      <c r="H174" s="875"/>
      <c r="I174" s="740"/>
      <c r="J174" s="875"/>
      <c r="K174" s="741"/>
      <c r="L174" s="742"/>
      <c r="M174" s="742"/>
      <c r="N174" s="741"/>
    </row>
    <row r="175" spans="1:14" ht="18" customHeight="1" x14ac:dyDescent="0.2">
      <c r="A175" s="626"/>
      <c r="B175" s="19"/>
      <c r="C175" s="626"/>
      <c r="D175" s="626"/>
      <c r="E175" s="626"/>
      <c r="F175" s="626"/>
      <c r="G175" s="875"/>
      <c r="H175" s="875"/>
      <c r="I175" s="740"/>
      <c r="J175" s="875"/>
      <c r="K175" s="741"/>
      <c r="L175" s="742"/>
      <c r="M175" s="742"/>
      <c r="N175" s="741"/>
    </row>
    <row r="176" spans="1:14" ht="18" customHeight="1" x14ac:dyDescent="0.2">
      <c r="A176" s="626"/>
      <c r="B176" s="19"/>
      <c r="C176" s="626"/>
      <c r="E176" s="626"/>
      <c r="F176" s="876" t="s">
        <v>1495</v>
      </c>
      <c r="G176" s="876"/>
      <c r="H176" s="875"/>
      <c r="I176" s="740"/>
      <c r="J176" s="875"/>
      <c r="K176" s="741"/>
      <c r="L176" s="742"/>
      <c r="M176" s="742"/>
      <c r="N176" s="741"/>
    </row>
    <row r="177" spans="1:14" ht="18" customHeight="1" x14ac:dyDescent="0.2">
      <c r="A177" s="626"/>
      <c r="B177" s="19"/>
      <c r="C177" s="626"/>
      <c r="E177" s="626"/>
      <c r="F177" s="875" t="s">
        <v>14</v>
      </c>
      <c r="G177" s="875"/>
      <c r="H177" s="875"/>
      <c r="I177" s="740"/>
      <c r="J177" s="875"/>
      <c r="K177" s="741"/>
      <c r="L177" s="742"/>
      <c r="M177" s="742"/>
      <c r="N177" s="741"/>
    </row>
    <row r="178" spans="1:14" ht="18" customHeight="1" x14ac:dyDescent="0.2">
      <c r="A178" s="626"/>
      <c r="B178" s="19"/>
      <c r="C178" s="626"/>
      <c r="E178" s="626"/>
      <c r="F178" s="19"/>
      <c r="G178" s="876"/>
      <c r="H178" s="875"/>
      <c r="I178" s="740"/>
      <c r="J178" s="875"/>
      <c r="K178" s="741"/>
      <c r="L178" s="742"/>
      <c r="M178" s="742"/>
      <c r="N178" s="741"/>
    </row>
    <row r="179" spans="1:14" ht="18" customHeight="1" x14ac:dyDescent="0.2">
      <c r="A179" s="626"/>
      <c r="B179" s="19"/>
      <c r="C179" s="626"/>
      <c r="E179" s="626"/>
      <c r="F179" s="626"/>
      <c r="G179" s="875"/>
      <c r="H179" s="875"/>
      <c r="I179" s="740"/>
      <c r="J179" s="875"/>
      <c r="K179" s="741"/>
      <c r="L179" s="742"/>
      <c r="M179" s="742"/>
      <c r="N179" s="741"/>
    </row>
    <row r="180" spans="1:14" ht="18" customHeight="1" x14ac:dyDescent="0.2">
      <c r="A180" s="626"/>
      <c r="B180" s="626"/>
      <c r="C180" s="626"/>
      <c r="D180" s="626"/>
      <c r="E180" s="626"/>
      <c r="F180" s="626"/>
      <c r="G180" s="875"/>
      <c r="H180" s="875"/>
      <c r="I180" s="740"/>
      <c r="J180" s="875"/>
      <c r="K180" s="741"/>
      <c r="L180" s="742"/>
      <c r="M180" s="742"/>
      <c r="N180" s="741"/>
    </row>
    <row r="181" spans="1:14" ht="18" customHeight="1" x14ac:dyDescent="0.2"/>
    <row r="182" spans="1:14" ht="18" customHeight="1" x14ac:dyDescent="0.2"/>
    <row r="183" spans="1:14" ht="18" customHeight="1" x14ac:dyDescent="0.2"/>
    <row r="184" spans="1:14" ht="18" customHeight="1" x14ac:dyDescent="0.2"/>
    <row r="185" spans="1:14" ht="18" customHeight="1" x14ac:dyDescent="0.2"/>
    <row r="186" spans="1:14" ht="18" customHeight="1" x14ac:dyDescent="0.2"/>
    <row r="187" spans="1:14" ht="18" customHeight="1" x14ac:dyDescent="0.2"/>
    <row r="188" spans="1:14" ht="18" customHeight="1" x14ac:dyDescent="0.2"/>
    <row r="189" spans="1:14" ht="18" customHeight="1" x14ac:dyDescent="0.2"/>
    <row r="190" spans="1:14" ht="18" customHeight="1" x14ac:dyDescent="0.2"/>
    <row r="191" spans="1:14" ht="18" customHeight="1" x14ac:dyDescent="0.2"/>
    <row r="192" spans="1:14"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spans="1:14" ht="18" customHeight="1" x14ac:dyDescent="0.2"/>
    <row r="210" spans="1:14" ht="18" customHeight="1" x14ac:dyDescent="0.2"/>
    <row r="211" spans="1:14" ht="18" customHeight="1" x14ac:dyDescent="0.2"/>
    <row r="212" spans="1:14" ht="18" customHeight="1" x14ac:dyDescent="0.2"/>
    <row r="213" spans="1:14" ht="18" customHeight="1" x14ac:dyDescent="0.2"/>
    <row r="214" spans="1:14" ht="18" customHeight="1" x14ac:dyDescent="0.2"/>
    <row r="215" spans="1:14" s="1320" customFormat="1" ht="20.100000000000001" customHeight="1" x14ac:dyDescent="0.35">
      <c r="A215" s="1065" t="s">
        <v>647</v>
      </c>
      <c r="B215" s="1065"/>
      <c r="C215" s="1065"/>
      <c r="D215" s="1065"/>
      <c r="E215" s="1065"/>
      <c r="F215" s="1065"/>
      <c r="G215" s="1065"/>
      <c r="H215" s="1065"/>
      <c r="I215" s="1065"/>
      <c r="J215" s="1065"/>
      <c r="K215" s="1065"/>
      <c r="L215" s="1065"/>
      <c r="M215" s="1065"/>
      <c r="N215" s="1065"/>
    </row>
    <row r="216" spans="1:14" ht="18" customHeight="1" x14ac:dyDescent="0.2">
      <c r="A216" s="19"/>
      <c r="B216" s="626"/>
      <c r="C216" s="626"/>
      <c r="D216" s="626"/>
      <c r="E216" s="626"/>
      <c r="F216" s="626"/>
      <c r="G216" s="875"/>
      <c r="H216" s="626"/>
      <c r="I216" s="627"/>
      <c r="J216" s="626"/>
      <c r="K216" s="626"/>
      <c r="L216" s="628"/>
      <c r="M216" s="628"/>
      <c r="N216" s="629"/>
    </row>
    <row r="217" spans="1:14" ht="18" customHeight="1" x14ac:dyDescent="0.2">
      <c r="A217" s="1070" t="s">
        <v>583</v>
      </c>
      <c r="B217" s="1070"/>
      <c r="C217" s="1070"/>
      <c r="D217" s="1070"/>
      <c r="E217" s="1070"/>
      <c r="F217" s="1070"/>
      <c r="G217" s="1070"/>
      <c r="H217" s="1070"/>
      <c r="I217" s="1070"/>
      <c r="J217" s="1070"/>
      <c r="K217" s="1070"/>
      <c r="L217" s="1070"/>
      <c r="M217" s="1070"/>
      <c r="N217" s="1070"/>
    </row>
    <row r="218" spans="1:14" ht="18" customHeight="1" x14ac:dyDescent="0.2">
      <c r="A218" s="1070" t="s">
        <v>364</v>
      </c>
      <c r="B218" s="1070"/>
      <c r="C218" s="1070"/>
      <c r="D218" s="1070"/>
      <c r="E218" s="1070"/>
      <c r="F218" s="1070"/>
      <c r="G218" s="1070"/>
      <c r="H218" s="1070"/>
      <c r="I218" s="1070"/>
      <c r="J218" s="1070"/>
      <c r="K218" s="1070"/>
      <c r="L218" s="1070"/>
      <c r="M218" s="1070"/>
      <c r="N218" s="1070"/>
    </row>
    <row r="219" spans="1:14" ht="18" customHeight="1" x14ac:dyDescent="0.2">
      <c r="A219" s="871"/>
      <c r="B219" s="871"/>
      <c r="C219" s="871"/>
      <c r="D219" s="871"/>
      <c r="E219" s="871"/>
      <c r="F219" s="871"/>
      <c r="G219" s="871"/>
      <c r="H219" s="871"/>
      <c r="I219" s="878"/>
      <c r="J219" s="871"/>
      <c r="K219" s="871"/>
      <c r="L219" s="630"/>
      <c r="M219" s="630"/>
      <c r="N219" s="871"/>
    </row>
    <row r="220" spans="1:14" ht="18" customHeight="1" thickBot="1" x14ac:dyDescent="0.25">
      <c r="A220" s="1070" t="s">
        <v>10</v>
      </c>
      <c r="B220" s="1070"/>
      <c r="C220" s="1070"/>
      <c r="D220" s="1070"/>
      <c r="E220" s="1070"/>
      <c r="F220" s="1070"/>
      <c r="G220" s="1070"/>
      <c r="H220" s="1070"/>
      <c r="I220" s="1070"/>
      <c r="J220" s="1070"/>
      <c r="K220" s="1070"/>
      <c r="L220" s="1070"/>
      <c r="M220" s="1070"/>
      <c r="N220" s="1070"/>
    </row>
    <row r="221" spans="1:14" s="1314" customFormat="1" ht="18" customHeight="1" x14ac:dyDescent="0.2">
      <c r="A221" s="631"/>
      <c r="B221" s="632"/>
      <c r="C221" s="632"/>
      <c r="D221" s="632"/>
      <c r="E221" s="632"/>
      <c r="F221" s="632"/>
      <c r="G221" s="633"/>
      <c r="H221" s="634"/>
      <c r="I221" s="634"/>
      <c r="J221" s="634"/>
      <c r="K221" s="1071"/>
      <c r="L221" s="1072"/>
      <c r="M221" s="1073"/>
      <c r="N221" s="635"/>
    </row>
    <row r="222" spans="1:14" s="1314" customFormat="1" ht="18" customHeight="1" x14ac:dyDescent="0.25">
      <c r="A222" s="1074" t="s">
        <v>3</v>
      </c>
      <c r="B222" s="1075"/>
      <c r="C222" s="1075"/>
      <c r="D222" s="1075"/>
      <c r="E222" s="1075"/>
      <c r="F222" s="1075"/>
      <c r="G222" s="636"/>
      <c r="H222" s="636" t="s">
        <v>1</v>
      </c>
      <c r="I222" s="637" t="s">
        <v>2</v>
      </c>
      <c r="J222" s="636" t="s">
        <v>6</v>
      </c>
      <c r="K222" s="1066" t="s">
        <v>641</v>
      </c>
      <c r="L222" s="1067"/>
      <c r="M222" s="1068"/>
      <c r="N222" s="638" t="s">
        <v>7</v>
      </c>
    </row>
    <row r="223" spans="1:14" s="1314" customFormat="1" ht="18" customHeight="1" x14ac:dyDescent="0.25">
      <c r="A223" s="639"/>
      <c r="B223" s="627"/>
      <c r="C223" s="627"/>
      <c r="D223" s="627"/>
      <c r="E223" s="627"/>
      <c r="F223" s="627"/>
      <c r="G223" s="640"/>
      <c r="H223" s="636" t="s">
        <v>4</v>
      </c>
      <c r="I223" s="637" t="s">
        <v>5</v>
      </c>
      <c r="J223" s="641">
        <v>2019</v>
      </c>
      <c r="K223" s="636" t="s">
        <v>579</v>
      </c>
      <c r="L223" s="642" t="s">
        <v>582</v>
      </c>
      <c r="M223" s="636">
        <v>2020</v>
      </c>
      <c r="N223" s="643">
        <v>2021</v>
      </c>
    </row>
    <row r="224" spans="1:14" s="1314" customFormat="1" ht="18" customHeight="1" x14ac:dyDescent="0.2">
      <c r="A224" s="639"/>
      <c r="B224" s="627"/>
      <c r="C224" s="627"/>
      <c r="D224" s="627"/>
      <c r="E224" s="627"/>
      <c r="F224" s="627"/>
      <c r="G224" s="640"/>
      <c r="H224" s="636"/>
      <c r="I224" s="636"/>
      <c r="J224" s="636" t="s">
        <v>579</v>
      </c>
      <c r="K224" s="636">
        <v>2020</v>
      </c>
      <c r="L224" s="636">
        <v>2020</v>
      </c>
      <c r="M224" s="642" t="s">
        <v>968</v>
      </c>
      <c r="N224" s="638" t="s">
        <v>584</v>
      </c>
    </row>
    <row r="225" spans="1:16" s="1314" customFormat="1" ht="18" customHeight="1" thickBot="1" x14ac:dyDescent="0.25">
      <c r="A225" s="639"/>
      <c r="B225" s="627"/>
      <c r="C225" s="627"/>
      <c r="D225" s="627"/>
      <c r="E225" s="627"/>
      <c r="F225" s="627"/>
      <c r="G225" s="640"/>
      <c r="H225" s="644"/>
      <c r="I225" s="644"/>
      <c r="J225" s="644"/>
      <c r="K225" s="644"/>
      <c r="L225" s="645"/>
      <c r="M225" s="645"/>
      <c r="N225" s="646"/>
    </row>
    <row r="226" spans="1:16" ht="18" customHeight="1" x14ac:dyDescent="0.25">
      <c r="A226" s="647" t="s">
        <v>490</v>
      </c>
      <c r="B226" s="648" t="s">
        <v>491</v>
      </c>
      <c r="C226" s="648"/>
      <c r="D226" s="648"/>
      <c r="E226" s="648"/>
      <c r="F226" s="648"/>
      <c r="G226" s="749"/>
      <c r="H226" s="650"/>
      <c r="I226" s="750"/>
      <c r="J226" s="751">
        <v>0</v>
      </c>
      <c r="K226" s="751">
        <v>0</v>
      </c>
      <c r="L226" s="751">
        <v>0</v>
      </c>
      <c r="M226" s="751">
        <f>SUM(K226:L226)</f>
        <v>0</v>
      </c>
      <c r="N226" s="751">
        <f>SUM(L226:M226)</f>
        <v>0</v>
      </c>
    </row>
    <row r="227" spans="1:16" ht="18" customHeight="1" x14ac:dyDescent="0.25">
      <c r="A227" s="689" t="s">
        <v>492</v>
      </c>
      <c r="B227" s="690" t="s">
        <v>493</v>
      </c>
      <c r="C227" s="690"/>
      <c r="D227" s="690"/>
      <c r="E227" s="690"/>
      <c r="F227" s="690"/>
      <c r="G227" s="657"/>
      <c r="H227" s="658"/>
      <c r="I227" s="714"/>
      <c r="J227" s="752"/>
      <c r="K227" s="753"/>
      <c r="L227" s="754"/>
      <c r="M227" s="753"/>
      <c r="N227" s="753"/>
    </row>
    <row r="228" spans="1:16" ht="18" customHeight="1" x14ac:dyDescent="0.25">
      <c r="A228" s="689"/>
      <c r="B228" s="690" t="s">
        <v>525</v>
      </c>
      <c r="C228" s="690"/>
      <c r="D228" s="690"/>
      <c r="E228" s="690"/>
      <c r="F228" s="690"/>
      <c r="G228" s="657"/>
      <c r="H228" s="658"/>
      <c r="I228" s="714"/>
      <c r="J228" s="752"/>
      <c r="K228" s="753"/>
      <c r="L228" s="754"/>
      <c r="M228" s="753"/>
      <c r="N228" s="753"/>
    </row>
    <row r="229" spans="1:16" ht="18" customHeight="1" x14ac:dyDescent="0.25">
      <c r="A229" s="654"/>
      <c r="B229" s="656"/>
      <c r="C229" s="656" t="s">
        <v>189</v>
      </c>
      <c r="D229" s="656"/>
      <c r="E229" s="656"/>
      <c r="F229" s="656"/>
      <c r="G229" s="657"/>
      <c r="H229" s="658"/>
      <c r="I229" s="714"/>
      <c r="J229" s="752"/>
      <c r="K229" s="753"/>
      <c r="L229" s="754"/>
      <c r="M229" s="753"/>
      <c r="N229" s="753"/>
    </row>
    <row r="230" spans="1:16" ht="18" customHeight="1" x14ac:dyDescent="0.25">
      <c r="A230" s="654"/>
      <c r="B230" s="656"/>
      <c r="C230" s="656"/>
      <c r="D230" s="656" t="s">
        <v>494</v>
      </c>
      <c r="E230" s="656" t="s">
        <v>586</v>
      </c>
      <c r="F230" s="656"/>
      <c r="G230" s="657"/>
      <c r="H230" s="658"/>
      <c r="I230" s="714"/>
      <c r="J230" s="752"/>
      <c r="K230" s="753"/>
      <c r="L230" s="754"/>
      <c r="M230" s="753"/>
      <c r="N230" s="753"/>
    </row>
    <row r="231" spans="1:16" ht="18" customHeight="1" x14ac:dyDescent="0.25">
      <c r="A231" s="654"/>
      <c r="B231" s="656"/>
      <c r="C231" s="656"/>
      <c r="D231" s="656"/>
      <c r="E231" s="656" t="s">
        <v>587</v>
      </c>
      <c r="F231" s="656"/>
      <c r="G231" s="694" t="s">
        <v>765</v>
      </c>
      <c r="H231" s="658" t="s">
        <v>758</v>
      </c>
      <c r="I231" s="714" t="s">
        <v>753</v>
      </c>
      <c r="J231" s="755">
        <v>3617395.6</v>
      </c>
      <c r="K231" s="756">
        <v>4223507</v>
      </c>
      <c r="L231" s="757">
        <v>10000</v>
      </c>
      <c r="M231" s="756">
        <f>L231+K231</f>
        <v>4233507</v>
      </c>
      <c r="N231" s="756">
        <v>3350000</v>
      </c>
      <c r="O231" s="1313" t="s">
        <v>916</v>
      </c>
      <c r="P231" s="1313" t="s">
        <v>1523</v>
      </c>
    </row>
    <row r="232" spans="1:16" ht="18" customHeight="1" thickBot="1" x14ac:dyDescent="0.3">
      <c r="A232" s="663"/>
      <c r="B232" s="664"/>
      <c r="C232" s="664"/>
      <c r="D232" s="664"/>
      <c r="E232" s="664" t="s">
        <v>588</v>
      </c>
      <c r="F232" s="664"/>
      <c r="G232" s="695" t="s">
        <v>766</v>
      </c>
      <c r="H232" s="666" t="s">
        <v>734</v>
      </c>
      <c r="I232" s="718" t="s">
        <v>753</v>
      </c>
      <c r="J232" s="758">
        <v>74157.41</v>
      </c>
      <c r="K232" s="759">
        <v>66153.320000000007</v>
      </c>
      <c r="L232" s="757">
        <v>5000</v>
      </c>
      <c r="M232" s="759">
        <f>L232+K232</f>
        <v>71153.320000000007</v>
      </c>
      <c r="N232" s="759">
        <v>50000</v>
      </c>
      <c r="O232" s="1313" t="s">
        <v>916</v>
      </c>
      <c r="P232" s="1313" t="s">
        <v>1524</v>
      </c>
    </row>
    <row r="233" spans="1:16" s="1316" customFormat="1" ht="18" customHeight="1" thickBot="1" x14ac:dyDescent="0.3">
      <c r="A233" s="673"/>
      <c r="B233" s="674"/>
      <c r="C233" s="674" t="s">
        <v>495</v>
      </c>
      <c r="D233" s="674"/>
      <c r="E233" s="674"/>
      <c r="F233" s="674"/>
      <c r="G233" s="675"/>
      <c r="H233" s="676"/>
      <c r="I233" s="720"/>
      <c r="J233" s="760">
        <f>SUM(J230:J232)</f>
        <v>3691553.0100000002</v>
      </c>
      <c r="K233" s="760">
        <f>SUM(K230:K232)</f>
        <v>4289660.32</v>
      </c>
      <c r="L233" s="761">
        <f>SUM(L230:L232)</f>
        <v>15000</v>
      </c>
      <c r="M233" s="760">
        <f>SUM(M230:M232)</f>
        <v>4304660.32</v>
      </c>
      <c r="N233" s="760">
        <f>SUM(N230:N232)</f>
        <v>3400000</v>
      </c>
    </row>
    <row r="234" spans="1:16" ht="18" customHeight="1" x14ac:dyDescent="0.25">
      <c r="A234" s="701"/>
      <c r="B234" s="702"/>
      <c r="C234" s="702" t="s">
        <v>190</v>
      </c>
      <c r="D234" s="702"/>
      <c r="E234" s="702"/>
      <c r="F234" s="702"/>
      <c r="G234" s="703"/>
      <c r="H234" s="684"/>
      <c r="I234" s="727"/>
      <c r="J234" s="762"/>
      <c r="K234" s="763"/>
      <c r="L234" s="764"/>
      <c r="M234" s="763"/>
      <c r="N234" s="763"/>
    </row>
    <row r="235" spans="1:16" ht="18" customHeight="1" x14ac:dyDescent="0.25">
      <c r="A235" s="654"/>
      <c r="B235" s="656"/>
      <c r="C235" s="656"/>
      <c r="D235" s="656" t="s">
        <v>496</v>
      </c>
      <c r="E235" s="656"/>
      <c r="F235" s="656"/>
      <c r="G235" s="657"/>
      <c r="H235" s="658"/>
      <c r="I235" s="714"/>
      <c r="J235" s="755"/>
      <c r="K235" s="756"/>
      <c r="L235" s="757"/>
      <c r="M235" s="756"/>
      <c r="N235" s="756"/>
    </row>
    <row r="236" spans="1:16" ht="18" customHeight="1" x14ac:dyDescent="0.25">
      <c r="A236" s="654"/>
      <c r="B236" s="656"/>
      <c r="C236" s="656"/>
      <c r="D236" s="656"/>
      <c r="E236" s="656" t="s">
        <v>590</v>
      </c>
      <c r="F236" s="656" t="s">
        <v>589</v>
      </c>
      <c r="G236" s="694" t="s">
        <v>767</v>
      </c>
      <c r="H236" s="658" t="s">
        <v>740</v>
      </c>
      <c r="I236" s="714" t="s">
        <v>753</v>
      </c>
      <c r="J236" s="755">
        <v>251909</v>
      </c>
      <c r="K236" s="756">
        <v>282371</v>
      </c>
      <c r="L236" s="757">
        <v>10000</v>
      </c>
      <c r="M236" s="756">
        <f t="shared" ref="M236:M248" si="5">L236+K236</f>
        <v>292371</v>
      </c>
      <c r="N236" s="756">
        <v>250000</v>
      </c>
      <c r="O236" s="1313" t="s">
        <v>916</v>
      </c>
      <c r="P236" s="1313" t="s">
        <v>1523</v>
      </c>
    </row>
    <row r="237" spans="1:16" ht="18" customHeight="1" x14ac:dyDescent="0.25">
      <c r="A237" s="654"/>
      <c r="B237" s="656"/>
      <c r="C237" s="656"/>
      <c r="D237" s="656"/>
      <c r="E237" s="656" t="s">
        <v>591</v>
      </c>
      <c r="F237" s="656"/>
      <c r="G237" s="694" t="s">
        <v>768</v>
      </c>
      <c r="H237" s="658" t="s">
        <v>742</v>
      </c>
      <c r="I237" s="714" t="s">
        <v>753</v>
      </c>
      <c r="J237" s="755">
        <v>807566.11</v>
      </c>
      <c r="K237" s="756">
        <v>821266.1</v>
      </c>
      <c r="L237" s="757">
        <v>10000</v>
      </c>
      <c r="M237" s="756">
        <f t="shared" si="5"/>
        <v>831266.1</v>
      </c>
      <c r="N237" s="756">
        <v>800000</v>
      </c>
      <c r="O237" s="1313" t="s">
        <v>916</v>
      </c>
      <c r="P237" s="1313" t="s">
        <v>1523</v>
      </c>
    </row>
    <row r="238" spans="1:16" ht="18" customHeight="1" x14ac:dyDescent="0.25">
      <c r="A238" s="654"/>
      <c r="B238" s="656"/>
      <c r="C238" s="656"/>
      <c r="D238" s="656"/>
      <c r="E238" s="656" t="s">
        <v>592</v>
      </c>
      <c r="F238" s="656"/>
      <c r="G238" s="694" t="s">
        <v>769</v>
      </c>
      <c r="H238" s="658" t="s">
        <v>759</v>
      </c>
      <c r="I238" s="714" t="s">
        <v>753</v>
      </c>
      <c r="J238" s="755">
        <v>36735</v>
      </c>
      <c r="K238" s="756">
        <v>41460</v>
      </c>
      <c r="L238" s="757">
        <v>5000</v>
      </c>
      <c r="M238" s="756">
        <f t="shared" si="5"/>
        <v>46460</v>
      </c>
      <c r="N238" s="756">
        <v>38000</v>
      </c>
      <c r="O238" s="1313" t="s">
        <v>916</v>
      </c>
      <c r="P238" s="1313" t="s">
        <v>1524</v>
      </c>
    </row>
    <row r="239" spans="1:16" ht="18" customHeight="1" x14ac:dyDescent="0.25">
      <c r="A239" s="654"/>
      <c r="B239" s="656"/>
      <c r="C239" s="656"/>
      <c r="D239" s="656" t="s">
        <v>516</v>
      </c>
      <c r="E239" s="656"/>
      <c r="F239" s="656"/>
      <c r="G239" s="657"/>
      <c r="H239" s="658"/>
      <c r="I239" s="714"/>
      <c r="J239" s="755"/>
      <c r="K239" s="756"/>
      <c r="L239" s="757"/>
      <c r="M239" s="756"/>
      <c r="N239" s="756"/>
    </row>
    <row r="240" spans="1:16" ht="18" customHeight="1" x14ac:dyDescent="0.25">
      <c r="A240" s="654"/>
      <c r="B240" s="656"/>
      <c r="C240" s="656"/>
      <c r="D240" s="656"/>
      <c r="E240" s="656" t="s">
        <v>593</v>
      </c>
      <c r="F240" s="656"/>
      <c r="G240" s="694" t="s">
        <v>770</v>
      </c>
      <c r="H240" s="658" t="s">
        <v>748</v>
      </c>
      <c r="I240" s="714" t="s">
        <v>753</v>
      </c>
      <c r="J240" s="755">
        <v>197085</v>
      </c>
      <c r="K240" s="756">
        <v>227240</v>
      </c>
      <c r="L240" s="757">
        <v>5000</v>
      </c>
      <c r="M240" s="756">
        <f t="shared" si="5"/>
        <v>232240</v>
      </c>
      <c r="N240" s="756">
        <v>225000</v>
      </c>
      <c r="O240" s="1313" t="s">
        <v>916</v>
      </c>
      <c r="P240" s="1313" t="s">
        <v>1524</v>
      </c>
    </row>
    <row r="241" spans="1:16" ht="18" customHeight="1" x14ac:dyDescent="0.25">
      <c r="A241" s="654"/>
      <c r="B241" s="656"/>
      <c r="C241" s="656"/>
      <c r="D241" s="656"/>
      <c r="E241" s="656" t="s">
        <v>594</v>
      </c>
      <c r="F241" s="656"/>
      <c r="G241" s="694" t="s">
        <v>771</v>
      </c>
      <c r="H241" s="658" t="s">
        <v>760</v>
      </c>
      <c r="I241" s="714" t="s">
        <v>753</v>
      </c>
      <c r="J241" s="755">
        <v>1224680</v>
      </c>
      <c r="K241" s="756">
        <v>609895</v>
      </c>
      <c r="L241" s="757">
        <f>1100000-K241</f>
        <v>490105</v>
      </c>
      <c r="M241" s="756">
        <f t="shared" si="5"/>
        <v>1100000</v>
      </c>
      <c r="N241" s="756">
        <v>1100000</v>
      </c>
    </row>
    <row r="242" spans="1:16" ht="18" customHeight="1" x14ac:dyDescent="0.25">
      <c r="A242" s="654"/>
      <c r="B242" s="656"/>
      <c r="C242" s="656"/>
      <c r="D242" s="656"/>
      <c r="E242" s="656" t="s">
        <v>595</v>
      </c>
      <c r="F242" s="656"/>
      <c r="G242" s="694" t="s">
        <v>772</v>
      </c>
      <c r="H242" s="658" t="s">
        <v>760</v>
      </c>
      <c r="I242" s="714" t="s">
        <v>753</v>
      </c>
      <c r="J242" s="755">
        <v>292850</v>
      </c>
      <c r="K242" s="756">
        <v>158980</v>
      </c>
      <c r="L242" s="757">
        <f>260000-K242</f>
        <v>101020</v>
      </c>
      <c r="M242" s="756">
        <f t="shared" si="5"/>
        <v>260000</v>
      </c>
      <c r="N242" s="756">
        <v>260000</v>
      </c>
    </row>
    <row r="243" spans="1:16" ht="18" customHeight="1" x14ac:dyDescent="0.25">
      <c r="A243" s="654"/>
      <c r="B243" s="656"/>
      <c r="C243" s="656"/>
      <c r="D243" s="656"/>
      <c r="E243" s="656" t="s">
        <v>596</v>
      </c>
      <c r="F243" s="656"/>
      <c r="G243" s="694" t="s">
        <v>773</v>
      </c>
      <c r="H243" s="658" t="s">
        <v>761</v>
      </c>
      <c r="I243" s="714" t="s">
        <v>753</v>
      </c>
      <c r="J243" s="755">
        <v>308800</v>
      </c>
      <c r="K243" s="756">
        <v>321935</v>
      </c>
      <c r="L243" s="757">
        <v>5000</v>
      </c>
      <c r="M243" s="756">
        <f t="shared" si="5"/>
        <v>326935</v>
      </c>
      <c r="N243" s="756">
        <v>320000</v>
      </c>
      <c r="O243" s="1313" t="s">
        <v>916</v>
      </c>
      <c r="P243" s="1313" t="s">
        <v>1524</v>
      </c>
    </row>
    <row r="244" spans="1:16" ht="18" customHeight="1" x14ac:dyDescent="0.25">
      <c r="A244" s="654"/>
      <c r="B244" s="656"/>
      <c r="C244" s="656"/>
      <c r="D244" s="656"/>
      <c r="E244" s="656" t="s">
        <v>597</v>
      </c>
      <c r="F244" s="656"/>
      <c r="G244" s="657"/>
      <c r="H244" s="658"/>
      <c r="I244" s="714"/>
      <c r="J244" s="755"/>
      <c r="K244" s="756"/>
      <c r="L244" s="757"/>
      <c r="M244" s="756"/>
      <c r="N244" s="756"/>
    </row>
    <row r="245" spans="1:16" ht="18" customHeight="1" x14ac:dyDescent="0.25">
      <c r="A245" s="654"/>
      <c r="B245" s="656"/>
      <c r="C245" s="656"/>
      <c r="D245" s="656"/>
      <c r="E245" s="656"/>
      <c r="F245" s="656" t="s">
        <v>598</v>
      </c>
      <c r="G245" s="694" t="s">
        <v>774</v>
      </c>
      <c r="H245" s="658" t="s">
        <v>762</v>
      </c>
      <c r="I245" s="714" t="s">
        <v>753</v>
      </c>
      <c r="J245" s="755">
        <v>3348530</v>
      </c>
      <c r="K245" s="756">
        <v>1210578</v>
      </c>
      <c r="L245" s="757">
        <f>2900000-K245</f>
        <v>1689422</v>
      </c>
      <c r="M245" s="756">
        <f t="shared" si="5"/>
        <v>2900000</v>
      </c>
      <c r="N245" s="756">
        <v>2900000</v>
      </c>
    </row>
    <row r="246" spans="1:16" ht="18" customHeight="1" x14ac:dyDescent="0.25">
      <c r="A246" s="654"/>
      <c r="B246" s="656"/>
      <c r="C246" s="656"/>
      <c r="D246" s="656"/>
      <c r="E246" s="656"/>
      <c r="F246" s="656" t="s">
        <v>599</v>
      </c>
      <c r="G246" s="694" t="s">
        <v>775</v>
      </c>
      <c r="H246" s="658" t="s">
        <v>762</v>
      </c>
      <c r="I246" s="714" t="s">
        <v>753</v>
      </c>
      <c r="J246" s="755">
        <v>2027450</v>
      </c>
      <c r="K246" s="756">
        <v>765480</v>
      </c>
      <c r="L246" s="757">
        <f>1800000-K246</f>
        <v>1034520</v>
      </c>
      <c r="M246" s="756">
        <f t="shared" si="5"/>
        <v>1800000</v>
      </c>
      <c r="N246" s="756">
        <v>1500000</v>
      </c>
    </row>
    <row r="247" spans="1:16" ht="18" customHeight="1" x14ac:dyDescent="0.25">
      <c r="A247" s="654"/>
      <c r="B247" s="656"/>
      <c r="C247" s="656"/>
      <c r="D247" s="656"/>
      <c r="E247" s="656"/>
      <c r="F247" s="656" t="s">
        <v>600</v>
      </c>
      <c r="G247" s="694" t="s">
        <v>776</v>
      </c>
      <c r="H247" s="658" t="s">
        <v>762</v>
      </c>
      <c r="I247" s="714" t="s">
        <v>753</v>
      </c>
      <c r="J247" s="755">
        <v>1844716.5</v>
      </c>
      <c r="K247" s="756">
        <v>737712.2</v>
      </c>
      <c r="L247" s="757">
        <f>1800000-K247</f>
        <v>1062287.8</v>
      </c>
      <c r="M247" s="756">
        <f t="shared" si="5"/>
        <v>1800000</v>
      </c>
      <c r="N247" s="756">
        <v>1300000</v>
      </c>
    </row>
    <row r="248" spans="1:16" ht="18" customHeight="1" thickBot="1" x14ac:dyDescent="0.3">
      <c r="A248" s="663"/>
      <c r="B248" s="664"/>
      <c r="C248" s="664"/>
      <c r="D248" s="664"/>
      <c r="E248" s="664"/>
      <c r="F248" s="664" t="s">
        <v>601</v>
      </c>
      <c r="G248" s="695" t="s">
        <v>777</v>
      </c>
      <c r="H248" s="666" t="s">
        <v>762</v>
      </c>
      <c r="I248" s="718" t="s">
        <v>753</v>
      </c>
      <c r="J248" s="765">
        <v>0</v>
      </c>
      <c r="K248" s="766">
        <v>0</v>
      </c>
      <c r="L248" s="757">
        <v>0</v>
      </c>
      <c r="M248" s="766">
        <f t="shared" si="5"/>
        <v>0</v>
      </c>
      <c r="N248" s="767">
        <v>0</v>
      </c>
    </row>
    <row r="249" spans="1:16" s="1316" customFormat="1" ht="18" customHeight="1" thickBot="1" x14ac:dyDescent="0.3">
      <c r="A249" s="707"/>
      <c r="B249" s="674"/>
      <c r="C249" s="674" t="s">
        <v>8</v>
      </c>
      <c r="D249" s="674"/>
      <c r="E249" s="674"/>
      <c r="F249" s="674"/>
      <c r="G249" s="675"/>
      <c r="H249" s="676"/>
      <c r="I249" s="720"/>
      <c r="J249" s="760">
        <f>SUM(J236:J248)</f>
        <v>10340321.609999999</v>
      </c>
      <c r="K249" s="760">
        <f>SUM(K236:K248)</f>
        <v>5176917.3</v>
      </c>
      <c r="L249" s="761">
        <f>SUM(L236:L248)</f>
        <v>4412354.8</v>
      </c>
      <c r="M249" s="760">
        <f>SUM(M236:M248)</f>
        <v>9589272.0999999996</v>
      </c>
      <c r="N249" s="768">
        <f>SUM(N236:N248)</f>
        <v>8693000</v>
      </c>
    </row>
    <row r="250" spans="1:16" s="1316" customFormat="1" ht="18" customHeight="1" thickBot="1" x14ac:dyDescent="0.3">
      <c r="A250" s="707" t="s">
        <v>9</v>
      </c>
      <c r="B250" s="674"/>
      <c r="C250" s="674"/>
      <c r="D250" s="674"/>
      <c r="E250" s="674"/>
      <c r="F250" s="674"/>
      <c r="G250" s="675"/>
      <c r="H250" s="676"/>
      <c r="I250" s="720"/>
      <c r="J250" s="760">
        <f>SUM(J249+J233+J226)</f>
        <v>14031874.619999999</v>
      </c>
      <c r="K250" s="760">
        <f>SUM(K249+K233+K226)</f>
        <v>9466577.620000001</v>
      </c>
      <c r="L250" s="761">
        <f>SUM(L249+L233+L226)</f>
        <v>4427354.8</v>
      </c>
      <c r="M250" s="760">
        <f>SUM(M249+M233+M226)</f>
        <v>13893932.42</v>
      </c>
      <c r="N250" s="768">
        <f>SUM(N249+N233+N226)</f>
        <v>12093000</v>
      </c>
    </row>
    <row r="251" spans="1:16" s="1316" customFormat="1" ht="18" customHeight="1" x14ac:dyDescent="0.25">
      <c r="A251" s="709"/>
      <c r="B251" s="709"/>
      <c r="C251" s="709"/>
      <c r="D251" s="709"/>
      <c r="E251" s="709"/>
      <c r="F251" s="709"/>
      <c r="G251" s="872"/>
      <c r="H251" s="880"/>
      <c r="I251" s="710"/>
      <c r="J251" s="769"/>
      <c r="K251" s="769"/>
      <c r="L251" s="770"/>
      <c r="M251" s="770"/>
      <c r="N251" s="769"/>
    </row>
    <row r="252" spans="1:16" s="1316" customFormat="1" ht="18" customHeight="1" x14ac:dyDescent="0.25">
      <c r="A252" s="709"/>
      <c r="B252" s="709"/>
      <c r="C252" s="709"/>
      <c r="D252" s="709"/>
      <c r="E252" s="709"/>
      <c r="F252" s="709"/>
      <c r="G252" s="872"/>
      <c r="H252" s="880"/>
      <c r="I252" s="710"/>
      <c r="J252" s="769">
        <f>J250+J66</f>
        <v>175835864.07000002</v>
      </c>
      <c r="K252" s="769"/>
      <c r="L252" s="770"/>
      <c r="M252" s="770"/>
      <c r="N252" s="769"/>
    </row>
    <row r="253" spans="1:16" s="1316" customFormat="1" ht="18" customHeight="1" x14ac:dyDescent="0.25">
      <c r="A253" s="709"/>
      <c r="B253" s="709"/>
      <c r="C253" s="709"/>
      <c r="D253" s="709"/>
      <c r="E253" s="709"/>
      <c r="F253" s="709"/>
      <c r="G253" s="872"/>
      <c r="H253" s="880"/>
      <c r="I253" s="710"/>
      <c r="J253" s="769"/>
      <c r="K253" s="769"/>
      <c r="L253" s="770"/>
      <c r="M253" s="770"/>
      <c r="N253" s="769"/>
    </row>
    <row r="254" spans="1:16" s="1316" customFormat="1" ht="18" customHeight="1" x14ac:dyDescent="0.25">
      <c r="A254" s="709"/>
      <c r="B254" s="709"/>
      <c r="C254" s="709"/>
      <c r="D254" s="709"/>
      <c r="E254" s="709"/>
      <c r="F254" s="709"/>
      <c r="G254" s="872"/>
      <c r="H254" s="880"/>
      <c r="I254" s="710"/>
      <c r="J254" s="769"/>
      <c r="K254" s="769"/>
      <c r="L254" s="770"/>
      <c r="M254" s="770"/>
      <c r="N254" s="769"/>
    </row>
    <row r="255" spans="1:16" s="1316" customFormat="1" ht="18" customHeight="1" x14ac:dyDescent="0.25">
      <c r="A255" s="709"/>
      <c r="B255" s="709"/>
      <c r="C255" s="709"/>
      <c r="D255" s="709"/>
      <c r="E255" s="709"/>
      <c r="F255" s="709"/>
      <c r="G255" s="872"/>
      <c r="H255" s="880"/>
      <c r="I255" s="710"/>
      <c r="J255" s="769"/>
      <c r="K255" s="769"/>
      <c r="L255" s="770"/>
      <c r="M255" s="770"/>
      <c r="N255" s="769"/>
    </row>
    <row r="256" spans="1:16" s="1316" customFormat="1" ht="18" customHeight="1" x14ac:dyDescent="0.25">
      <c r="A256" s="709"/>
      <c r="B256" s="709"/>
      <c r="C256" s="709"/>
      <c r="D256" s="709"/>
      <c r="E256" s="709"/>
      <c r="F256" s="709"/>
      <c r="G256" s="872"/>
      <c r="H256" s="880"/>
      <c r="I256" s="710"/>
      <c r="J256" s="769"/>
      <c r="K256" s="769"/>
      <c r="L256" s="770"/>
      <c r="M256" s="770"/>
      <c r="N256" s="769"/>
    </row>
    <row r="257" spans="1:14" s="1316" customFormat="1" ht="18" customHeight="1" x14ac:dyDescent="0.25">
      <c r="A257" s="709"/>
      <c r="B257" s="709"/>
      <c r="C257" s="709"/>
      <c r="D257" s="709"/>
      <c r="E257" s="709"/>
      <c r="F257" s="709"/>
      <c r="G257" s="872"/>
      <c r="H257" s="880"/>
      <c r="I257" s="710"/>
      <c r="J257" s="769"/>
      <c r="K257" s="769"/>
      <c r="L257" s="770"/>
      <c r="M257" s="770"/>
      <c r="N257" s="769"/>
    </row>
    <row r="258" spans="1:14" s="1316" customFormat="1" ht="18" customHeight="1" x14ac:dyDescent="0.25">
      <c r="A258" s="709"/>
      <c r="B258" s="709"/>
      <c r="C258" s="709"/>
      <c r="D258" s="709"/>
      <c r="E258" s="709"/>
      <c r="F258" s="709"/>
      <c r="G258" s="872"/>
      <c r="H258" s="880"/>
      <c r="I258" s="710"/>
      <c r="J258" s="769"/>
      <c r="K258" s="769"/>
      <c r="L258" s="770"/>
      <c r="M258" s="770"/>
      <c r="N258" s="769"/>
    </row>
    <row r="259" spans="1:14" s="1316" customFormat="1" ht="18" customHeight="1" x14ac:dyDescent="0.25">
      <c r="A259" s="709"/>
      <c r="B259" s="709"/>
      <c r="C259" s="709"/>
      <c r="D259" s="709"/>
      <c r="E259" s="709"/>
      <c r="F259" s="709"/>
      <c r="G259" s="872"/>
      <c r="H259" s="880"/>
      <c r="I259" s="710"/>
      <c r="J259" s="769"/>
      <c r="K259" s="769"/>
      <c r="L259" s="770"/>
      <c r="M259" s="770"/>
      <c r="N259" s="769"/>
    </row>
    <row r="260" spans="1:14" s="1316" customFormat="1" ht="18" customHeight="1" x14ac:dyDescent="0.25">
      <c r="A260" s="709"/>
      <c r="B260" s="709"/>
      <c r="C260" s="709"/>
      <c r="D260" s="709"/>
      <c r="E260" s="709"/>
      <c r="F260" s="709"/>
      <c r="G260" s="872"/>
      <c r="H260" s="880"/>
      <c r="I260" s="710"/>
      <c r="J260" s="769"/>
      <c r="K260" s="769"/>
      <c r="L260" s="770"/>
      <c r="M260" s="770"/>
      <c r="N260" s="769"/>
    </row>
    <row r="261" spans="1:14" s="1316" customFormat="1" ht="18" customHeight="1" x14ac:dyDescent="0.25">
      <c r="A261" s="709"/>
      <c r="B261" s="709"/>
      <c r="C261" s="709"/>
      <c r="D261" s="709"/>
      <c r="E261" s="709"/>
      <c r="F261" s="709"/>
      <c r="G261" s="872"/>
      <c r="H261" s="880"/>
      <c r="I261" s="710"/>
      <c r="J261" s="769"/>
      <c r="K261" s="769"/>
      <c r="L261" s="770"/>
      <c r="M261" s="770"/>
      <c r="N261" s="769"/>
    </row>
    <row r="262" spans="1:14" s="1316" customFormat="1" ht="18" customHeight="1" x14ac:dyDescent="0.25">
      <c r="A262" s="709"/>
      <c r="B262" s="709"/>
      <c r="C262" s="709"/>
      <c r="D262" s="709"/>
      <c r="E262" s="709"/>
      <c r="F262" s="709"/>
      <c r="G262" s="872"/>
      <c r="H262" s="880"/>
      <c r="I262" s="710"/>
      <c r="J262" s="769"/>
      <c r="K262" s="769"/>
      <c r="L262" s="770"/>
      <c r="M262" s="770"/>
      <c r="N262" s="769"/>
    </row>
    <row r="263" spans="1:14" s="1316" customFormat="1" ht="18" customHeight="1" x14ac:dyDescent="0.25">
      <c r="A263" s="709"/>
      <c r="B263" s="709"/>
      <c r="C263" s="709"/>
      <c r="D263" s="709"/>
      <c r="E263" s="709"/>
      <c r="F263" s="709"/>
      <c r="G263" s="872"/>
      <c r="H263" s="880"/>
      <c r="I263" s="710"/>
      <c r="J263" s="769"/>
      <c r="K263" s="769"/>
      <c r="L263" s="770"/>
      <c r="M263" s="770"/>
      <c r="N263" s="769"/>
    </row>
    <row r="264" spans="1:14" s="1316" customFormat="1" ht="18" customHeight="1" x14ac:dyDescent="0.25">
      <c r="A264" s="709"/>
      <c r="B264" s="709"/>
      <c r="C264" s="709"/>
      <c r="D264" s="709"/>
      <c r="E264" s="709"/>
      <c r="F264" s="709"/>
      <c r="G264" s="872"/>
      <c r="H264" s="880"/>
      <c r="I264" s="710"/>
      <c r="J264" s="769"/>
      <c r="K264" s="769"/>
      <c r="L264" s="770"/>
      <c r="M264" s="770"/>
      <c r="N264" s="769"/>
    </row>
    <row r="265" spans="1:14" s="1316" customFormat="1" ht="18" customHeight="1" x14ac:dyDescent="0.25">
      <c r="A265" s="709"/>
      <c r="B265" s="709"/>
      <c r="C265" s="709"/>
      <c r="D265" s="709"/>
      <c r="E265" s="709"/>
      <c r="F265" s="709"/>
      <c r="G265" s="872"/>
      <c r="H265" s="880"/>
      <c r="I265" s="710"/>
      <c r="J265" s="769"/>
      <c r="K265" s="769"/>
      <c r="L265" s="770"/>
      <c r="M265" s="770"/>
      <c r="N265" s="769"/>
    </row>
    <row r="266" spans="1:14" s="1316" customFormat="1" ht="18" customHeight="1" x14ac:dyDescent="0.25">
      <c r="A266" s="709"/>
      <c r="B266" s="709"/>
      <c r="C266" s="709"/>
      <c r="D266" s="709"/>
      <c r="E266" s="709"/>
      <c r="F266" s="709"/>
      <c r="G266" s="872"/>
      <c r="H266" s="880"/>
      <c r="I266" s="710"/>
      <c r="J266" s="769"/>
      <c r="K266" s="769"/>
      <c r="L266" s="770"/>
      <c r="M266" s="770"/>
      <c r="N266" s="769"/>
    </row>
    <row r="267" spans="1:14" s="1316" customFormat="1" ht="18" customHeight="1" x14ac:dyDescent="0.25">
      <c r="A267" s="709"/>
      <c r="B267" s="709"/>
      <c r="C267" s="709"/>
      <c r="D267" s="709"/>
      <c r="E267" s="709"/>
      <c r="F267" s="709"/>
      <c r="G267" s="872"/>
      <c r="H267" s="880"/>
      <c r="I267" s="710"/>
      <c r="J267" s="769"/>
      <c r="K267" s="769"/>
      <c r="L267" s="770"/>
      <c r="M267" s="770"/>
      <c r="N267" s="769"/>
    </row>
    <row r="268" spans="1:14" s="1316" customFormat="1" ht="18" customHeight="1" x14ac:dyDescent="0.25">
      <c r="A268" s="709"/>
      <c r="B268" s="709"/>
      <c r="C268" s="709"/>
      <c r="D268" s="709"/>
      <c r="E268" s="709"/>
      <c r="F268" s="709"/>
      <c r="G268" s="872"/>
      <c r="H268" s="880"/>
      <c r="I268" s="710"/>
      <c r="J268" s="769"/>
      <c r="K268" s="769"/>
      <c r="L268" s="770"/>
      <c r="M268" s="770"/>
      <c r="N268" s="769"/>
    </row>
    <row r="269" spans="1:14" s="1316" customFormat="1" ht="18" customHeight="1" x14ac:dyDescent="0.25">
      <c r="A269" s="709"/>
      <c r="B269" s="709"/>
      <c r="C269" s="709"/>
      <c r="D269" s="709"/>
      <c r="E269" s="709"/>
      <c r="F269" s="709"/>
      <c r="G269" s="872"/>
      <c r="H269" s="880"/>
      <c r="I269" s="710"/>
      <c r="J269" s="769"/>
      <c r="K269" s="769"/>
      <c r="L269" s="770"/>
      <c r="M269" s="770"/>
      <c r="N269" s="769"/>
    </row>
    <row r="270" spans="1:14" s="1316" customFormat="1" ht="18" customHeight="1" x14ac:dyDescent="0.25">
      <c r="A270" s="709"/>
      <c r="B270" s="709"/>
      <c r="C270" s="709"/>
      <c r="D270" s="709"/>
      <c r="E270" s="709"/>
      <c r="F270" s="709"/>
      <c r="G270" s="872"/>
      <c r="H270" s="880"/>
      <c r="I270" s="710"/>
      <c r="J270" s="769"/>
      <c r="K270" s="769"/>
      <c r="L270" s="770"/>
      <c r="M270" s="770"/>
      <c r="N270" s="769"/>
    </row>
    <row r="271" spans="1:14" s="1316" customFormat="1" ht="18" customHeight="1" x14ac:dyDescent="0.25">
      <c r="A271" s="709"/>
      <c r="B271" s="709"/>
      <c r="C271" s="709"/>
      <c r="D271" s="709"/>
      <c r="E271" s="709"/>
      <c r="F271" s="709"/>
      <c r="G271" s="872"/>
      <c r="H271" s="880"/>
      <c r="I271" s="710"/>
      <c r="J271" s="769"/>
      <c r="K271" s="769"/>
      <c r="L271" s="770"/>
      <c r="M271" s="770"/>
      <c r="N271" s="769"/>
    </row>
    <row r="272" spans="1:14" s="1316" customFormat="1" ht="18" customHeight="1" x14ac:dyDescent="0.25">
      <c r="A272" s="709"/>
      <c r="B272" s="709"/>
      <c r="C272" s="709"/>
      <c r="D272" s="709"/>
      <c r="E272" s="709"/>
      <c r="F272" s="709"/>
      <c r="G272" s="872"/>
      <c r="H272" s="880"/>
      <c r="I272" s="710"/>
      <c r="J272" s="769"/>
      <c r="K272" s="769"/>
      <c r="L272" s="770"/>
      <c r="M272" s="770"/>
      <c r="N272" s="769"/>
    </row>
    <row r="273" spans="1:14" s="1316" customFormat="1" ht="18" customHeight="1" x14ac:dyDescent="0.25">
      <c r="A273" s="709"/>
      <c r="B273" s="709"/>
      <c r="C273" s="709"/>
      <c r="D273" s="709"/>
      <c r="E273" s="709"/>
      <c r="F273" s="709"/>
      <c r="G273" s="872"/>
      <c r="H273" s="880"/>
      <c r="I273" s="710"/>
      <c r="J273" s="769"/>
      <c r="K273" s="769"/>
      <c r="L273" s="770"/>
      <c r="M273" s="770"/>
      <c r="N273" s="769"/>
    </row>
    <row r="274" spans="1:14" s="1316" customFormat="1" ht="18" customHeight="1" x14ac:dyDescent="0.25">
      <c r="A274" s="709"/>
      <c r="B274" s="709"/>
      <c r="C274" s="709"/>
      <c r="D274" s="709"/>
      <c r="E274" s="709"/>
      <c r="F274" s="709"/>
      <c r="G274" s="872"/>
      <c r="H274" s="880"/>
      <c r="I274" s="710"/>
      <c r="J274" s="769"/>
      <c r="K274" s="769"/>
      <c r="L274" s="770"/>
      <c r="M274" s="770"/>
      <c r="N274" s="769"/>
    </row>
    <row r="275" spans="1:14" s="1316" customFormat="1" ht="18" customHeight="1" x14ac:dyDescent="0.25">
      <c r="A275" s="709"/>
      <c r="B275" s="709"/>
      <c r="C275" s="709"/>
      <c r="D275" s="709"/>
      <c r="E275" s="709"/>
      <c r="F275" s="709"/>
      <c r="G275" s="872"/>
      <c r="H275" s="880"/>
      <c r="I275" s="710"/>
      <c r="J275" s="769"/>
      <c r="K275" s="769"/>
      <c r="L275" s="770"/>
      <c r="M275" s="770"/>
      <c r="N275" s="769"/>
    </row>
    <row r="276" spans="1:14" s="1316" customFormat="1" ht="18" customHeight="1" x14ac:dyDescent="0.25">
      <c r="A276" s="709"/>
      <c r="B276" s="709"/>
      <c r="C276" s="709"/>
      <c r="D276" s="709"/>
      <c r="E276" s="709"/>
      <c r="F276" s="709"/>
      <c r="G276" s="872"/>
      <c r="H276" s="880"/>
      <c r="I276" s="710"/>
      <c r="J276" s="769"/>
      <c r="K276" s="769"/>
      <c r="L276" s="770"/>
      <c r="M276" s="770"/>
      <c r="N276" s="769"/>
    </row>
    <row r="277" spans="1:14" s="1316" customFormat="1" ht="18" customHeight="1" x14ac:dyDescent="0.25">
      <c r="A277" s="709"/>
      <c r="B277" s="709"/>
      <c r="C277" s="709"/>
      <c r="D277" s="709"/>
      <c r="E277" s="709"/>
      <c r="F277" s="709"/>
      <c r="G277" s="872"/>
      <c r="H277" s="880"/>
      <c r="I277" s="710"/>
      <c r="J277" s="769"/>
      <c r="K277" s="769"/>
      <c r="L277" s="770"/>
      <c r="M277" s="770"/>
      <c r="N277" s="769"/>
    </row>
    <row r="278" spans="1:14" s="1316" customFormat="1" ht="18" customHeight="1" x14ac:dyDescent="0.25">
      <c r="A278" s="709"/>
      <c r="B278" s="709"/>
      <c r="C278" s="709"/>
      <c r="D278" s="709"/>
      <c r="E278" s="709"/>
      <c r="F278" s="709"/>
      <c r="G278" s="872"/>
      <c r="H278" s="880"/>
      <c r="I278" s="710"/>
      <c r="J278" s="769"/>
      <c r="K278" s="769"/>
      <c r="L278" s="770"/>
      <c r="M278" s="770"/>
      <c r="N278" s="769"/>
    </row>
    <row r="279" spans="1:14" s="1316" customFormat="1" ht="18" customHeight="1" x14ac:dyDescent="0.25">
      <c r="A279" s="709"/>
      <c r="B279" s="709"/>
      <c r="C279" s="709"/>
      <c r="D279" s="709"/>
      <c r="E279" s="709"/>
      <c r="F279" s="709"/>
      <c r="G279" s="872"/>
      <c r="H279" s="880"/>
      <c r="I279" s="710"/>
      <c r="J279" s="769"/>
      <c r="K279" s="769"/>
      <c r="L279" s="770"/>
      <c r="M279" s="770"/>
      <c r="N279" s="769"/>
    </row>
    <row r="280" spans="1:14" s="1316" customFormat="1" ht="18" customHeight="1" x14ac:dyDescent="0.25">
      <c r="A280" s="709"/>
      <c r="B280" s="709"/>
      <c r="C280" s="709"/>
      <c r="D280" s="709"/>
      <c r="E280" s="709"/>
      <c r="F280" s="709"/>
      <c r="G280" s="872"/>
      <c r="H280" s="880"/>
      <c r="I280" s="710"/>
      <c r="J280" s="769"/>
      <c r="K280" s="769"/>
      <c r="L280" s="770"/>
      <c r="M280" s="770"/>
      <c r="N280" s="769"/>
    </row>
    <row r="281" spans="1:14" s="1316" customFormat="1" ht="18" customHeight="1" x14ac:dyDescent="0.25">
      <c r="A281" s="709"/>
      <c r="B281" s="709"/>
      <c r="C281" s="709"/>
      <c r="D281" s="709"/>
      <c r="E281" s="709"/>
      <c r="F281" s="709"/>
      <c r="G281" s="872"/>
      <c r="H281" s="880"/>
      <c r="I281" s="710"/>
      <c r="J281" s="769"/>
      <c r="K281" s="769"/>
      <c r="L281" s="770"/>
      <c r="M281" s="770"/>
      <c r="N281" s="769"/>
    </row>
    <row r="282" spans="1:14" s="1316" customFormat="1" ht="18" customHeight="1" x14ac:dyDescent="0.25">
      <c r="A282" s="709"/>
      <c r="B282" s="709"/>
      <c r="C282" s="709"/>
      <c r="D282" s="709"/>
      <c r="E282" s="709"/>
      <c r="F282" s="709"/>
      <c r="G282" s="872"/>
      <c r="H282" s="880"/>
      <c r="I282" s="710"/>
      <c r="J282" s="769"/>
      <c r="K282" s="769"/>
      <c r="L282" s="770"/>
      <c r="M282" s="770"/>
      <c r="N282" s="769"/>
    </row>
    <row r="283" spans="1:14" s="1316" customFormat="1" ht="18" customHeight="1" x14ac:dyDescent="0.25">
      <c r="A283" s="709"/>
      <c r="B283" s="709"/>
      <c r="C283" s="709"/>
      <c r="D283" s="709"/>
      <c r="E283" s="709"/>
      <c r="F283" s="709"/>
      <c r="G283" s="872"/>
      <c r="H283" s="880"/>
      <c r="I283" s="710"/>
      <c r="J283" s="769"/>
      <c r="K283" s="769"/>
      <c r="L283" s="770"/>
      <c r="M283" s="770"/>
      <c r="N283" s="769"/>
    </row>
    <row r="284" spans="1:14" s="1316" customFormat="1" ht="18" customHeight="1" x14ac:dyDescent="0.25">
      <c r="A284" s="709"/>
      <c r="B284" s="709"/>
      <c r="C284" s="709"/>
      <c r="D284" s="709"/>
      <c r="E284" s="709"/>
      <c r="F284" s="709"/>
      <c r="G284" s="872"/>
      <c r="H284" s="880"/>
      <c r="I284" s="710"/>
      <c r="J284" s="769"/>
      <c r="K284" s="769"/>
      <c r="L284" s="770"/>
      <c r="M284" s="770"/>
      <c r="N284" s="769"/>
    </row>
    <row r="285" spans="1:14" s="1316" customFormat="1" ht="18" customHeight="1" x14ac:dyDescent="0.25">
      <c r="A285" s="709"/>
      <c r="B285" s="709"/>
      <c r="C285" s="709"/>
      <c r="D285" s="709"/>
      <c r="E285" s="709"/>
      <c r="F285" s="709"/>
      <c r="G285" s="872"/>
      <c r="H285" s="880"/>
      <c r="I285" s="710"/>
      <c r="J285" s="769"/>
      <c r="K285" s="769"/>
      <c r="L285" s="770"/>
      <c r="M285" s="770">
        <f>12535047.21+75000</f>
        <v>12610047.210000001</v>
      </c>
      <c r="N285" s="769"/>
    </row>
    <row r="286" spans="1:14" s="1316" customFormat="1" ht="20.100000000000001" customHeight="1" x14ac:dyDescent="0.35">
      <c r="A286" s="1065" t="s">
        <v>1014</v>
      </c>
      <c r="B286" s="1065"/>
      <c r="C286" s="1065"/>
      <c r="D286" s="1065"/>
      <c r="E286" s="1065"/>
      <c r="F286" s="1065"/>
      <c r="G286" s="1065"/>
      <c r="H286" s="1065"/>
      <c r="I286" s="1065"/>
      <c r="J286" s="1065"/>
      <c r="K286" s="1065"/>
      <c r="L286" s="1065"/>
      <c r="M286" s="1065"/>
      <c r="N286" s="1065"/>
    </row>
    <row r="287" spans="1:14" s="1316" customFormat="1" ht="18" customHeight="1" x14ac:dyDescent="0.25">
      <c r="A287" s="709"/>
      <c r="B287" s="709"/>
      <c r="C287" s="709"/>
      <c r="D287" s="709"/>
      <c r="E287" s="709"/>
      <c r="F287" s="709"/>
      <c r="G287" s="872"/>
      <c r="H287" s="880"/>
      <c r="I287" s="710"/>
      <c r="J287" s="769"/>
      <c r="K287" s="769"/>
      <c r="L287" s="770"/>
      <c r="M287" s="770"/>
      <c r="N287" s="769"/>
    </row>
    <row r="288" spans="1:14" s="1316" customFormat="1" ht="18" customHeight="1" x14ac:dyDescent="0.2">
      <c r="A288" s="1070" t="s">
        <v>583</v>
      </c>
      <c r="B288" s="1070"/>
      <c r="C288" s="1070"/>
      <c r="D288" s="1070"/>
      <c r="E288" s="1070"/>
      <c r="F288" s="1070"/>
      <c r="G288" s="1070"/>
      <c r="H288" s="1070"/>
      <c r="I288" s="1070"/>
      <c r="J288" s="1070"/>
      <c r="K288" s="1070"/>
      <c r="L288" s="1070"/>
      <c r="M288" s="1070"/>
      <c r="N288" s="1070"/>
    </row>
    <row r="289" spans="1:14" s="1316" customFormat="1" ht="18" customHeight="1" x14ac:dyDescent="0.2">
      <c r="A289" s="1070" t="s">
        <v>364</v>
      </c>
      <c r="B289" s="1070"/>
      <c r="C289" s="1070"/>
      <c r="D289" s="1070"/>
      <c r="E289" s="1070"/>
      <c r="F289" s="1070"/>
      <c r="G289" s="1070"/>
      <c r="H289" s="1070"/>
      <c r="I289" s="1070"/>
      <c r="J289" s="1070"/>
      <c r="K289" s="1070"/>
      <c r="L289" s="1070"/>
      <c r="M289" s="1070"/>
      <c r="N289" s="1070"/>
    </row>
    <row r="290" spans="1:14" s="1316" customFormat="1" ht="18" customHeight="1" x14ac:dyDescent="0.2">
      <c r="A290" s="871"/>
      <c r="B290" s="871"/>
      <c r="C290" s="871"/>
      <c r="D290" s="871"/>
      <c r="E290" s="871"/>
      <c r="F290" s="871"/>
      <c r="G290" s="871"/>
      <c r="H290" s="871"/>
      <c r="I290" s="878"/>
      <c r="J290" s="871"/>
      <c r="K290" s="871"/>
      <c r="L290" s="630"/>
      <c r="M290" s="630"/>
      <c r="N290" s="871"/>
    </row>
    <row r="291" spans="1:14" s="1316" customFormat="1" ht="18" customHeight="1" thickBot="1" x14ac:dyDescent="0.25">
      <c r="A291" s="1070" t="s">
        <v>10</v>
      </c>
      <c r="B291" s="1070"/>
      <c r="C291" s="1070"/>
      <c r="D291" s="1070"/>
      <c r="E291" s="1070"/>
      <c r="F291" s="1070"/>
      <c r="G291" s="1070"/>
      <c r="H291" s="1070"/>
      <c r="I291" s="1070"/>
      <c r="J291" s="1070"/>
      <c r="K291" s="1070"/>
      <c r="L291" s="1070"/>
      <c r="M291" s="1070"/>
      <c r="N291" s="1070"/>
    </row>
    <row r="292" spans="1:14" s="1316" customFormat="1" ht="18" customHeight="1" x14ac:dyDescent="0.2">
      <c r="A292" s="631"/>
      <c r="B292" s="632"/>
      <c r="C292" s="632"/>
      <c r="D292" s="632"/>
      <c r="E292" s="632"/>
      <c r="F292" s="632"/>
      <c r="G292" s="633"/>
      <c r="H292" s="634"/>
      <c r="I292" s="634"/>
      <c r="J292" s="634"/>
      <c r="K292" s="1071"/>
      <c r="L292" s="1072"/>
      <c r="M292" s="1073"/>
      <c r="N292" s="635"/>
    </row>
    <row r="293" spans="1:14" s="1316" customFormat="1" ht="18" customHeight="1" x14ac:dyDescent="0.25">
      <c r="A293" s="1074" t="s">
        <v>3</v>
      </c>
      <c r="B293" s="1075"/>
      <c r="C293" s="1075"/>
      <c r="D293" s="1075"/>
      <c r="E293" s="1075"/>
      <c r="F293" s="1075"/>
      <c r="G293" s="636"/>
      <c r="H293" s="636" t="s">
        <v>1</v>
      </c>
      <c r="I293" s="637" t="s">
        <v>2</v>
      </c>
      <c r="J293" s="636" t="s">
        <v>6</v>
      </c>
      <c r="K293" s="1066" t="s">
        <v>641</v>
      </c>
      <c r="L293" s="1067"/>
      <c r="M293" s="1068"/>
      <c r="N293" s="638" t="s">
        <v>7</v>
      </c>
    </row>
    <row r="294" spans="1:14" s="1316" customFormat="1" ht="18" customHeight="1" x14ac:dyDescent="0.25">
      <c r="A294" s="639"/>
      <c r="B294" s="627"/>
      <c r="C294" s="627"/>
      <c r="D294" s="627"/>
      <c r="E294" s="627"/>
      <c r="F294" s="627"/>
      <c r="G294" s="640"/>
      <c r="H294" s="636" t="s">
        <v>4</v>
      </c>
      <c r="I294" s="637" t="s">
        <v>5</v>
      </c>
      <c r="J294" s="641">
        <v>2019</v>
      </c>
      <c r="K294" s="636" t="s">
        <v>579</v>
      </c>
      <c r="L294" s="642" t="s">
        <v>582</v>
      </c>
      <c r="M294" s="713" t="s">
        <v>1509</v>
      </c>
      <c r="N294" s="643">
        <v>2021</v>
      </c>
    </row>
    <row r="295" spans="1:14" s="1316" customFormat="1" ht="18" customHeight="1" x14ac:dyDescent="0.2">
      <c r="A295" s="639"/>
      <c r="B295" s="627"/>
      <c r="C295" s="627"/>
      <c r="D295" s="627"/>
      <c r="E295" s="627"/>
      <c r="F295" s="627"/>
      <c r="G295" s="640"/>
      <c r="H295" s="636"/>
      <c r="I295" s="636"/>
      <c r="J295" s="636" t="s">
        <v>579</v>
      </c>
      <c r="K295" s="636">
        <v>2020</v>
      </c>
      <c r="L295" s="636">
        <v>2020</v>
      </c>
      <c r="M295" s="642" t="s">
        <v>968</v>
      </c>
      <c r="N295" s="638" t="s">
        <v>584</v>
      </c>
    </row>
    <row r="296" spans="1:14" s="1316" customFormat="1" ht="18" customHeight="1" thickBot="1" x14ac:dyDescent="0.25">
      <c r="A296" s="771"/>
      <c r="B296" s="772"/>
      <c r="C296" s="772"/>
      <c r="D296" s="772"/>
      <c r="E296" s="772"/>
      <c r="F296" s="772"/>
      <c r="G296" s="644"/>
      <c r="H296" s="644"/>
      <c r="I296" s="644"/>
      <c r="J296" s="644"/>
      <c r="K296" s="644"/>
      <c r="L296" s="645"/>
      <c r="M296" s="645"/>
      <c r="N296" s="646"/>
    </row>
    <row r="297" spans="1:14" ht="18" customHeight="1" x14ac:dyDescent="0.25">
      <c r="A297" s="681" t="s">
        <v>530</v>
      </c>
      <c r="B297" s="682" t="s">
        <v>531</v>
      </c>
      <c r="C297" s="682"/>
      <c r="D297" s="682"/>
      <c r="E297" s="682"/>
      <c r="F297" s="682"/>
      <c r="G297" s="703"/>
      <c r="H297" s="684"/>
      <c r="I297" s="727"/>
      <c r="J297" s="762"/>
      <c r="K297" s="763"/>
      <c r="L297" s="764"/>
      <c r="M297" s="764"/>
      <c r="N297" s="763"/>
    </row>
    <row r="298" spans="1:14" ht="18" customHeight="1" x14ac:dyDescent="0.25">
      <c r="A298" s="689"/>
      <c r="B298" s="690" t="s">
        <v>372</v>
      </c>
      <c r="C298" s="690"/>
      <c r="D298" s="690"/>
      <c r="E298" s="690"/>
      <c r="F298" s="690"/>
      <c r="G298" s="657"/>
      <c r="H298" s="658"/>
      <c r="I298" s="714"/>
      <c r="J298" s="755"/>
      <c r="K298" s="756"/>
      <c r="L298" s="757"/>
      <c r="M298" s="757"/>
      <c r="N298" s="756"/>
    </row>
    <row r="299" spans="1:14" ht="18" customHeight="1" x14ac:dyDescent="0.25">
      <c r="A299" s="654"/>
      <c r="B299" s="656"/>
      <c r="C299" s="656" t="s">
        <v>532</v>
      </c>
      <c r="D299" s="656"/>
      <c r="E299" s="656"/>
      <c r="F299" s="656"/>
      <c r="G299" s="657"/>
      <c r="H299" s="658"/>
      <c r="I299" s="714"/>
      <c r="J299" s="755"/>
      <c r="K299" s="756"/>
      <c r="L299" s="757"/>
      <c r="M299" s="757"/>
      <c r="N299" s="756"/>
    </row>
    <row r="300" spans="1:14" ht="18" customHeight="1" x14ac:dyDescent="0.25">
      <c r="A300" s="654"/>
      <c r="B300" s="656"/>
      <c r="C300" s="656"/>
      <c r="D300" s="656" t="s">
        <v>533</v>
      </c>
      <c r="E300" s="656"/>
      <c r="F300" s="656"/>
      <c r="G300" s="657" t="s">
        <v>603</v>
      </c>
      <c r="H300" s="658" t="s">
        <v>698</v>
      </c>
      <c r="I300" s="714"/>
      <c r="J300" s="755">
        <v>3269137.99</v>
      </c>
      <c r="K300" s="756">
        <v>1661806.73</v>
      </c>
      <c r="L300" s="757">
        <f>3457991-K300</f>
        <v>1796184.27</v>
      </c>
      <c r="M300" s="756">
        <f>L300+K300</f>
        <v>3457991</v>
      </c>
      <c r="N300" s="756">
        <v>3782865</v>
      </c>
    </row>
    <row r="301" spans="1:14" ht="18" customHeight="1" x14ac:dyDescent="0.25">
      <c r="A301" s="654"/>
      <c r="B301" s="656"/>
      <c r="C301" s="656"/>
      <c r="D301" s="656" t="s">
        <v>435</v>
      </c>
      <c r="E301" s="656"/>
      <c r="F301" s="656"/>
      <c r="G301" s="657" t="s">
        <v>405</v>
      </c>
      <c r="H301" s="658" t="s">
        <v>754</v>
      </c>
      <c r="I301" s="714"/>
      <c r="J301" s="773">
        <v>902221.36</v>
      </c>
      <c r="K301" s="773">
        <v>644874</v>
      </c>
      <c r="L301" s="757">
        <f>1295976-K301</f>
        <v>651102</v>
      </c>
      <c r="M301" s="756">
        <f>L301+K301</f>
        <v>1295976</v>
      </c>
      <c r="N301" s="756">
        <v>1227480</v>
      </c>
    </row>
    <row r="302" spans="1:14" ht="18" customHeight="1" x14ac:dyDescent="0.25">
      <c r="A302" s="654"/>
      <c r="B302" s="656"/>
      <c r="C302" s="656" t="s">
        <v>534</v>
      </c>
      <c r="D302" s="656"/>
      <c r="E302" s="656"/>
      <c r="F302" s="656"/>
      <c r="G302" s="657"/>
      <c r="H302" s="658"/>
      <c r="I302" s="714"/>
      <c r="J302" s="755"/>
      <c r="K302" s="756"/>
      <c r="L302" s="757"/>
      <c r="M302" s="756"/>
      <c r="N302" s="756"/>
    </row>
    <row r="303" spans="1:14" ht="18" customHeight="1" x14ac:dyDescent="0.25">
      <c r="A303" s="654"/>
      <c r="B303" s="656"/>
      <c r="C303" s="656"/>
      <c r="D303" s="656" t="s">
        <v>535</v>
      </c>
      <c r="E303" s="656"/>
      <c r="F303" s="656"/>
      <c r="G303" s="657" t="s">
        <v>604</v>
      </c>
      <c r="H303" s="658" t="s">
        <v>699</v>
      </c>
      <c r="I303" s="714"/>
      <c r="J303" s="755">
        <v>725584.43</v>
      </c>
      <c r="K303" s="756">
        <v>393818.18</v>
      </c>
      <c r="L303" s="757">
        <f>816000-K303</f>
        <v>422181.82</v>
      </c>
      <c r="M303" s="756">
        <f t="shared" ref="M303:M320" si="6">L303+K303</f>
        <v>816000</v>
      </c>
      <c r="N303" s="756">
        <v>816000</v>
      </c>
    </row>
    <row r="304" spans="1:14" ht="18" customHeight="1" x14ac:dyDescent="0.25">
      <c r="A304" s="654"/>
      <c r="B304" s="656"/>
      <c r="C304" s="656"/>
      <c r="D304" s="656" t="s">
        <v>547</v>
      </c>
      <c r="E304" s="656"/>
      <c r="F304" s="656"/>
      <c r="G304" s="657" t="s">
        <v>607</v>
      </c>
      <c r="H304" s="658" t="s">
        <v>702</v>
      </c>
      <c r="I304" s="714"/>
      <c r="J304" s="755">
        <v>156000</v>
      </c>
      <c r="K304" s="756">
        <v>180000</v>
      </c>
      <c r="L304" s="757">
        <f>204000-K304</f>
        <v>24000</v>
      </c>
      <c r="M304" s="756">
        <f t="shared" si="6"/>
        <v>204000</v>
      </c>
      <c r="N304" s="756">
        <v>204000</v>
      </c>
    </row>
    <row r="305" spans="1:14" ht="18" customHeight="1" x14ac:dyDescent="0.25">
      <c r="A305" s="654"/>
      <c r="B305" s="656"/>
      <c r="C305" s="656"/>
      <c r="D305" s="656" t="s">
        <v>548</v>
      </c>
      <c r="E305" s="656"/>
      <c r="F305" s="656"/>
      <c r="G305" s="657" t="s">
        <v>608</v>
      </c>
      <c r="H305" s="658" t="s">
        <v>719</v>
      </c>
      <c r="I305" s="714"/>
      <c r="J305" s="773">
        <v>17400</v>
      </c>
      <c r="K305" s="773">
        <v>7500</v>
      </c>
      <c r="L305" s="757">
        <f>19800-K305</f>
        <v>12300</v>
      </c>
      <c r="M305" s="756">
        <f t="shared" si="6"/>
        <v>19800</v>
      </c>
      <c r="N305" s="756">
        <v>19800</v>
      </c>
    </row>
    <row r="306" spans="1:14" ht="18" customHeight="1" x14ac:dyDescent="0.25">
      <c r="A306" s="654"/>
      <c r="B306" s="656"/>
      <c r="C306" s="656"/>
      <c r="D306" s="656" t="s">
        <v>806</v>
      </c>
      <c r="E306" s="656"/>
      <c r="F306" s="656"/>
      <c r="G306" s="694" t="s">
        <v>609</v>
      </c>
      <c r="H306" s="658" t="s">
        <v>703</v>
      </c>
      <c r="I306" s="714"/>
      <c r="J306" s="755">
        <v>165000</v>
      </c>
      <c r="K306" s="773">
        <v>0</v>
      </c>
      <c r="L306" s="757">
        <f>170000-K306</f>
        <v>170000</v>
      </c>
      <c r="M306" s="756">
        <f t="shared" si="6"/>
        <v>170000</v>
      </c>
      <c r="N306" s="756">
        <v>170000</v>
      </c>
    </row>
    <row r="307" spans="1:14" ht="18" customHeight="1" x14ac:dyDescent="0.25">
      <c r="A307" s="654"/>
      <c r="B307" s="656"/>
      <c r="C307" s="656"/>
      <c r="D307" s="656" t="s">
        <v>549</v>
      </c>
      <c r="E307" s="656"/>
      <c r="F307" s="656"/>
      <c r="G307" s="657" t="s">
        <v>440</v>
      </c>
      <c r="H307" s="658" t="s">
        <v>704</v>
      </c>
      <c r="I307" s="714"/>
      <c r="J307" s="755">
        <v>25000</v>
      </c>
      <c r="K307" s="773">
        <v>10000</v>
      </c>
      <c r="L307" s="756">
        <f>30000-K307</f>
        <v>20000</v>
      </c>
      <c r="M307" s="756">
        <f t="shared" si="6"/>
        <v>30000</v>
      </c>
      <c r="N307" s="756">
        <v>15000</v>
      </c>
    </row>
    <row r="308" spans="1:14" ht="18" customHeight="1" x14ac:dyDescent="0.25">
      <c r="A308" s="654"/>
      <c r="B308" s="656"/>
      <c r="C308" s="656"/>
      <c r="D308" s="656" t="s">
        <v>551</v>
      </c>
      <c r="E308" s="656"/>
      <c r="F308" s="656"/>
      <c r="G308" s="657" t="s">
        <v>610</v>
      </c>
      <c r="H308" s="658" t="s">
        <v>720</v>
      </c>
      <c r="I308" s="714"/>
      <c r="J308" s="773">
        <v>19558</v>
      </c>
      <c r="K308" s="773">
        <v>5334</v>
      </c>
      <c r="L308" s="757">
        <f>21336-K308</f>
        <v>16002</v>
      </c>
      <c r="M308" s="756">
        <f t="shared" si="6"/>
        <v>21336</v>
      </c>
      <c r="N308" s="756">
        <v>21336</v>
      </c>
    </row>
    <row r="309" spans="1:14" ht="18" customHeight="1" x14ac:dyDescent="0.25">
      <c r="A309" s="654"/>
      <c r="B309" s="656"/>
      <c r="C309" s="656"/>
      <c r="D309" s="656" t="s">
        <v>373</v>
      </c>
      <c r="E309" s="656"/>
      <c r="F309" s="656"/>
      <c r="G309" s="657" t="s">
        <v>611</v>
      </c>
      <c r="H309" s="658" t="s">
        <v>721</v>
      </c>
      <c r="I309" s="714"/>
      <c r="J309" s="755">
        <v>50000</v>
      </c>
      <c r="K309" s="756">
        <v>0</v>
      </c>
      <c r="L309" s="757">
        <f>50000-K309</f>
        <v>50000</v>
      </c>
      <c r="M309" s="756">
        <f t="shared" si="6"/>
        <v>50000</v>
      </c>
      <c r="N309" s="756">
        <v>70000</v>
      </c>
    </row>
    <row r="310" spans="1:14" ht="18" customHeight="1" x14ac:dyDescent="0.25">
      <c r="A310" s="654"/>
      <c r="B310" s="656"/>
      <c r="C310" s="656"/>
      <c r="D310" s="656" t="s">
        <v>552</v>
      </c>
      <c r="E310" s="656"/>
      <c r="F310" s="656"/>
      <c r="G310" s="657" t="s">
        <v>612</v>
      </c>
      <c r="H310" s="658" t="s">
        <v>705</v>
      </c>
      <c r="I310" s="714"/>
      <c r="J310" s="755">
        <v>170000</v>
      </c>
      <c r="K310" s="756">
        <v>0</v>
      </c>
      <c r="L310" s="757">
        <f>170000-K310</f>
        <v>170000</v>
      </c>
      <c r="M310" s="756">
        <f t="shared" si="6"/>
        <v>170000</v>
      </c>
      <c r="N310" s="756">
        <v>170000</v>
      </c>
    </row>
    <row r="311" spans="1:14" ht="18" customHeight="1" x14ac:dyDescent="0.25">
      <c r="A311" s="654"/>
      <c r="B311" s="656"/>
      <c r="C311" s="656"/>
      <c r="D311" s="656" t="s">
        <v>928</v>
      </c>
      <c r="E311" s="656"/>
      <c r="F311" s="656"/>
      <c r="G311" s="657" t="s">
        <v>440</v>
      </c>
      <c r="H311" s="658" t="s">
        <v>704</v>
      </c>
      <c r="I311" s="714"/>
      <c r="J311" s="773">
        <v>322076</v>
      </c>
      <c r="K311" s="756">
        <v>385477</v>
      </c>
      <c r="L311" s="774">
        <f>395765-K311</f>
        <v>10288</v>
      </c>
      <c r="M311" s="756">
        <f>L311+K311</f>
        <v>395765</v>
      </c>
      <c r="N311" s="773">
        <v>416927</v>
      </c>
    </row>
    <row r="312" spans="1:14" ht="18" customHeight="1" x14ac:dyDescent="0.25">
      <c r="A312" s="654"/>
      <c r="B312" s="656"/>
      <c r="C312" s="656"/>
      <c r="D312" s="656" t="s">
        <v>1562</v>
      </c>
      <c r="E312" s="656"/>
      <c r="F312" s="656"/>
      <c r="G312" s="657"/>
      <c r="H312" s="658" t="s">
        <v>704</v>
      </c>
      <c r="I312" s="714"/>
      <c r="J312" s="773">
        <v>115810</v>
      </c>
      <c r="K312" s="756">
        <v>190105.74</v>
      </c>
      <c r="L312" s="774">
        <f>190105.74-K312</f>
        <v>0</v>
      </c>
      <c r="M312" s="756">
        <f>L312+K312</f>
        <v>190105.74</v>
      </c>
      <c r="N312" s="773">
        <v>0</v>
      </c>
    </row>
    <row r="313" spans="1:14" ht="18" customHeight="1" x14ac:dyDescent="0.25">
      <c r="A313" s="654"/>
      <c r="B313" s="656"/>
      <c r="C313" s="656"/>
      <c r="D313" s="656" t="s">
        <v>553</v>
      </c>
      <c r="E313" s="656"/>
      <c r="F313" s="656"/>
      <c r="G313" s="657" t="s">
        <v>613</v>
      </c>
      <c r="H313" s="658" t="s">
        <v>706</v>
      </c>
      <c r="I313" s="714"/>
      <c r="J313" s="755">
        <v>378740</v>
      </c>
      <c r="K313" s="756">
        <v>0</v>
      </c>
      <c r="L313" s="757">
        <f>396413-K313</f>
        <v>396413</v>
      </c>
      <c r="M313" s="756">
        <f t="shared" si="6"/>
        <v>396413</v>
      </c>
      <c r="N313" s="756">
        <v>417831</v>
      </c>
    </row>
    <row r="314" spans="1:14" ht="18" customHeight="1" x14ac:dyDescent="0.25">
      <c r="A314" s="654"/>
      <c r="B314" s="656"/>
      <c r="C314" s="656"/>
      <c r="D314" s="656" t="s">
        <v>669</v>
      </c>
      <c r="E314" s="656"/>
      <c r="F314" s="656"/>
      <c r="G314" s="657" t="s">
        <v>614</v>
      </c>
      <c r="H314" s="658" t="s">
        <v>707</v>
      </c>
      <c r="I314" s="714"/>
      <c r="J314" s="755">
        <v>416609.17</v>
      </c>
      <c r="K314" s="756">
        <v>201458.04</v>
      </c>
      <c r="L314" s="757">
        <f>571200-K314</f>
        <v>369741.95999999996</v>
      </c>
      <c r="M314" s="756">
        <f t="shared" si="6"/>
        <v>571200</v>
      </c>
      <c r="N314" s="756">
        <v>604400</v>
      </c>
    </row>
    <row r="315" spans="1:14" ht="18" customHeight="1" x14ac:dyDescent="0.25">
      <c r="A315" s="654"/>
      <c r="B315" s="656"/>
      <c r="C315" s="656"/>
      <c r="D315" s="656" t="s">
        <v>554</v>
      </c>
      <c r="E315" s="656"/>
      <c r="F315" s="656"/>
      <c r="G315" s="657" t="s">
        <v>615</v>
      </c>
      <c r="H315" s="658" t="s">
        <v>708</v>
      </c>
      <c r="I315" s="714"/>
      <c r="J315" s="755">
        <v>36800</v>
      </c>
      <c r="K315" s="756">
        <v>16500</v>
      </c>
      <c r="L315" s="757">
        <f>40800-K315</f>
        <v>24300</v>
      </c>
      <c r="M315" s="756">
        <f t="shared" si="6"/>
        <v>40800</v>
      </c>
      <c r="N315" s="756">
        <v>61200</v>
      </c>
    </row>
    <row r="316" spans="1:14" ht="18" customHeight="1" x14ac:dyDescent="0.25">
      <c r="A316" s="654"/>
      <c r="B316" s="656"/>
      <c r="C316" s="656"/>
      <c r="D316" s="656" t="s">
        <v>555</v>
      </c>
      <c r="E316" s="656"/>
      <c r="F316" s="656"/>
      <c r="G316" s="657" t="s">
        <v>616</v>
      </c>
      <c r="H316" s="658" t="s">
        <v>709</v>
      </c>
      <c r="I316" s="714"/>
      <c r="J316" s="755">
        <v>57378.75</v>
      </c>
      <c r="K316" s="756">
        <v>28455</v>
      </c>
      <c r="L316" s="757">
        <f>71800-K316</f>
        <v>43345</v>
      </c>
      <c r="M316" s="756">
        <f t="shared" si="6"/>
        <v>71800</v>
      </c>
      <c r="N316" s="756">
        <v>111300</v>
      </c>
    </row>
    <row r="317" spans="1:14" ht="18" customHeight="1" x14ac:dyDescent="0.25">
      <c r="A317" s="654"/>
      <c r="B317" s="656"/>
      <c r="C317" s="656"/>
      <c r="D317" s="656" t="s">
        <v>665</v>
      </c>
      <c r="E317" s="656"/>
      <c r="F317" s="656"/>
      <c r="G317" s="657" t="s">
        <v>617</v>
      </c>
      <c r="H317" s="658" t="s">
        <v>710</v>
      </c>
      <c r="I317" s="714"/>
      <c r="J317" s="755">
        <v>29307.35</v>
      </c>
      <c r="K317" s="756">
        <v>14320.48</v>
      </c>
      <c r="L317" s="757">
        <f>40800-K317</f>
        <v>26479.52</v>
      </c>
      <c r="M317" s="756">
        <f t="shared" si="6"/>
        <v>40800</v>
      </c>
      <c r="N317" s="756">
        <v>40800</v>
      </c>
    </row>
    <row r="318" spans="1:14" ht="18" customHeight="1" x14ac:dyDescent="0.25">
      <c r="A318" s="654"/>
      <c r="B318" s="656"/>
      <c r="C318" s="656"/>
      <c r="D318" s="656" t="s">
        <v>378</v>
      </c>
      <c r="E318" s="656"/>
      <c r="F318" s="656"/>
      <c r="G318" s="694"/>
      <c r="H318" s="658" t="s">
        <v>711</v>
      </c>
      <c r="I318" s="714"/>
      <c r="J318" s="755">
        <v>72593.95</v>
      </c>
      <c r="K318" s="756">
        <v>0</v>
      </c>
      <c r="L318" s="756">
        <f>0-K318</f>
        <v>0</v>
      </c>
      <c r="M318" s="773">
        <f t="shared" si="6"/>
        <v>0</v>
      </c>
      <c r="N318" s="756">
        <v>0</v>
      </c>
    </row>
    <row r="319" spans="1:14" ht="18" customHeight="1" x14ac:dyDescent="0.25">
      <c r="A319" s="654"/>
      <c r="B319" s="656"/>
      <c r="C319" s="656"/>
      <c r="D319" s="664" t="s">
        <v>557</v>
      </c>
      <c r="E319" s="664"/>
      <c r="F319" s="664"/>
      <c r="G319" s="695" t="s">
        <v>403</v>
      </c>
      <c r="H319" s="666" t="s">
        <v>722</v>
      </c>
      <c r="I319" s="714"/>
      <c r="J319" s="755">
        <v>200000</v>
      </c>
      <c r="K319" s="756">
        <v>404109.99</v>
      </c>
      <c r="L319" s="773">
        <f>438890-K319</f>
        <v>34780.010000000009</v>
      </c>
      <c r="M319" s="773">
        <f t="shared" si="6"/>
        <v>438890</v>
      </c>
      <c r="N319" s="756">
        <v>0</v>
      </c>
    </row>
    <row r="320" spans="1:14" ht="18" customHeight="1" thickBot="1" x14ac:dyDescent="0.3">
      <c r="A320" s="775"/>
      <c r="B320" s="627"/>
      <c r="C320" s="627"/>
      <c r="D320" s="664" t="s">
        <v>1563</v>
      </c>
      <c r="E320" s="664"/>
      <c r="F320" s="664"/>
      <c r="G320" s="695" t="s">
        <v>403</v>
      </c>
      <c r="H320" s="666" t="s">
        <v>722</v>
      </c>
      <c r="I320" s="776"/>
      <c r="J320" s="758">
        <v>220000</v>
      </c>
      <c r="K320" s="759"/>
      <c r="L320" s="773">
        <f>0-K320</f>
        <v>0</v>
      </c>
      <c r="M320" s="777">
        <f t="shared" si="6"/>
        <v>0</v>
      </c>
      <c r="N320" s="777">
        <v>0</v>
      </c>
    </row>
    <row r="321" spans="1:14" s="1316" customFormat="1" ht="18" customHeight="1" thickBot="1" x14ac:dyDescent="0.3">
      <c r="A321" s="707"/>
      <c r="B321" s="674"/>
      <c r="C321" s="674"/>
      <c r="D321" s="674" t="s">
        <v>377</v>
      </c>
      <c r="E321" s="674"/>
      <c r="F321" s="674"/>
      <c r="G321" s="675"/>
      <c r="H321" s="676"/>
      <c r="I321" s="720"/>
      <c r="J321" s="760">
        <f>SUM(J300:J320)</f>
        <v>7349217</v>
      </c>
      <c r="K321" s="760">
        <f>SUM(K300:K320)</f>
        <v>4143759.16</v>
      </c>
      <c r="L321" s="761">
        <f>SUM(L300:L319)</f>
        <v>4237117.5799999991</v>
      </c>
      <c r="M321" s="760">
        <f>SUM(M300:M320)</f>
        <v>8380876.7400000002</v>
      </c>
      <c r="N321" s="768">
        <f>SUM(N300:N320)</f>
        <v>8148939</v>
      </c>
    </row>
    <row r="322" spans="1:14" ht="18" customHeight="1" x14ac:dyDescent="0.25">
      <c r="A322" s="701"/>
      <c r="B322" s="778" t="s">
        <v>558</v>
      </c>
      <c r="C322" s="779"/>
      <c r="D322" s="779"/>
      <c r="E322" s="779"/>
      <c r="F322" s="779"/>
      <c r="G322" s="703"/>
      <c r="H322" s="684"/>
      <c r="I322" s="727"/>
      <c r="J322" s="762"/>
      <c r="K322" s="763"/>
      <c r="L322" s="764"/>
      <c r="M322" s="763"/>
      <c r="N322" s="763"/>
    </row>
    <row r="323" spans="1:14" ht="18" customHeight="1" x14ac:dyDescent="0.25">
      <c r="A323" s="654"/>
      <c r="B323" s="656"/>
      <c r="C323" s="656"/>
      <c r="D323" s="656" t="s">
        <v>559</v>
      </c>
      <c r="E323" s="656"/>
      <c r="F323" s="656"/>
      <c r="G323" s="657" t="s">
        <v>390</v>
      </c>
      <c r="H323" s="658" t="s">
        <v>712</v>
      </c>
      <c r="I323" s="714"/>
      <c r="J323" s="755">
        <v>36346.019999999997</v>
      </c>
      <c r="K323" s="756">
        <v>0</v>
      </c>
      <c r="L323" s="757">
        <f>50000-K323</f>
        <v>50000</v>
      </c>
      <c r="M323" s="756">
        <f t="shared" ref="M323:M332" si="7">L323+K323</f>
        <v>50000</v>
      </c>
      <c r="N323" s="756">
        <f>50000-6000</f>
        <v>44000</v>
      </c>
    </row>
    <row r="324" spans="1:14" ht="18" customHeight="1" x14ac:dyDescent="0.25">
      <c r="A324" s="654"/>
      <c r="B324" s="656"/>
      <c r="C324" s="656"/>
      <c r="D324" s="656" t="s">
        <v>436</v>
      </c>
      <c r="E324" s="656"/>
      <c r="F324" s="656"/>
      <c r="G324" s="657" t="s">
        <v>391</v>
      </c>
      <c r="H324" s="658" t="s">
        <v>713</v>
      </c>
      <c r="I324" s="714"/>
      <c r="J324" s="773">
        <v>40000</v>
      </c>
      <c r="K324" s="756">
        <v>0</v>
      </c>
      <c r="L324" s="757">
        <f>40000-K324</f>
        <v>40000</v>
      </c>
      <c r="M324" s="756">
        <f t="shared" si="7"/>
        <v>40000</v>
      </c>
      <c r="N324" s="756">
        <v>40000</v>
      </c>
    </row>
    <row r="325" spans="1:14" ht="18" customHeight="1" x14ac:dyDescent="0.25">
      <c r="A325" s="654"/>
      <c r="B325" s="656"/>
      <c r="C325" s="656"/>
      <c r="D325" s="656" t="s">
        <v>384</v>
      </c>
      <c r="E325" s="656"/>
      <c r="F325" s="656"/>
      <c r="G325" s="657" t="s">
        <v>393</v>
      </c>
      <c r="H325" s="658" t="s">
        <v>714</v>
      </c>
      <c r="I325" s="714"/>
      <c r="J325" s="755">
        <v>222180</v>
      </c>
      <c r="K325" s="773">
        <v>42325</v>
      </c>
      <c r="L325" s="757">
        <f>320000-K325</f>
        <v>277675</v>
      </c>
      <c r="M325" s="756">
        <f t="shared" si="7"/>
        <v>320000</v>
      </c>
      <c r="N325" s="756">
        <f>350000-20000</f>
        <v>330000</v>
      </c>
    </row>
    <row r="326" spans="1:14" ht="18" customHeight="1" x14ac:dyDescent="0.25">
      <c r="A326" s="654"/>
      <c r="B326" s="656"/>
      <c r="C326" s="656"/>
      <c r="D326" s="656" t="s">
        <v>383</v>
      </c>
      <c r="E326" s="656"/>
      <c r="F326" s="656"/>
      <c r="G326" s="657" t="s">
        <v>630</v>
      </c>
      <c r="H326" s="658" t="s">
        <v>755</v>
      </c>
      <c r="I326" s="714"/>
      <c r="J326" s="755">
        <v>1606674.89</v>
      </c>
      <c r="K326" s="756">
        <v>611054.4</v>
      </c>
      <c r="L326" s="757">
        <f>1900000-K326</f>
        <v>1288945.6000000001</v>
      </c>
      <c r="M326" s="756">
        <f t="shared" si="7"/>
        <v>1900000</v>
      </c>
      <c r="N326" s="756">
        <v>1900000</v>
      </c>
    </row>
    <row r="327" spans="1:14" ht="18" customHeight="1" x14ac:dyDescent="0.25">
      <c r="A327" s="654"/>
      <c r="B327" s="656"/>
      <c r="C327" s="656"/>
      <c r="D327" s="656" t="s">
        <v>565</v>
      </c>
      <c r="E327" s="656"/>
      <c r="F327" s="656"/>
      <c r="G327" s="657" t="s">
        <v>394</v>
      </c>
      <c r="H327" s="658" t="s">
        <v>716</v>
      </c>
      <c r="I327" s="714"/>
      <c r="J327" s="755">
        <v>6000</v>
      </c>
      <c r="K327" s="756">
        <v>3000</v>
      </c>
      <c r="L327" s="757">
        <f>6000-K327</f>
        <v>3000</v>
      </c>
      <c r="M327" s="756">
        <f t="shared" si="7"/>
        <v>6000</v>
      </c>
      <c r="N327" s="756">
        <f>6000+6000</f>
        <v>12000</v>
      </c>
    </row>
    <row r="328" spans="1:14" ht="18" customHeight="1" x14ac:dyDescent="0.25">
      <c r="A328" s="654"/>
      <c r="B328" s="656"/>
      <c r="C328" s="656"/>
      <c r="D328" s="656" t="s">
        <v>382</v>
      </c>
      <c r="E328" s="656"/>
      <c r="F328" s="656"/>
      <c r="G328" s="657" t="s">
        <v>631</v>
      </c>
      <c r="H328" s="658" t="s">
        <v>756</v>
      </c>
      <c r="I328" s="714"/>
      <c r="J328" s="755">
        <v>1650000</v>
      </c>
      <c r="K328" s="756">
        <v>551600</v>
      </c>
      <c r="L328" s="757">
        <f>1150000-K328</f>
        <v>598400</v>
      </c>
      <c r="M328" s="756">
        <f t="shared" si="7"/>
        <v>1150000</v>
      </c>
      <c r="N328" s="756">
        <v>714118</v>
      </c>
    </row>
    <row r="329" spans="1:14" ht="18" customHeight="1" x14ac:dyDescent="0.25">
      <c r="A329" s="654"/>
      <c r="B329" s="656"/>
      <c r="C329" s="656"/>
      <c r="D329" s="656" t="s">
        <v>950</v>
      </c>
      <c r="E329" s="656"/>
      <c r="F329" s="656"/>
      <c r="G329" s="657" t="s">
        <v>395</v>
      </c>
      <c r="H329" s="658" t="s">
        <v>717</v>
      </c>
      <c r="I329" s="714"/>
      <c r="J329" s="755"/>
      <c r="K329" s="773">
        <v>700</v>
      </c>
      <c r="L329" s="757">
        <f>50000-K329</f>
        <v>49300</v>
      </c>
      <c r="M329" s="756">
        <f>L329+K329</f>
        <v>50000</v>
      </c>
      <c r="N329" s="756">
        <v>40000</v>
      </c>
    </row>
    <row r="330" spans="1:14" ht="18" customHeight="1" x14ac:dyDescent="0.25">
      <c r="A330" s="654"/>
      <c r="B330" s="656"/>
      <c r="C330" s="656"/>
      <c r="D330" s="656" t="s">
        <v>974</v>
      </c>
      <c r="E330" s="656"/>
      <c r="F330" s="656"/>
      <c r="G330" s="657"/>
      <c r="H330" s="658" t="s">
        <v>975</v>
      </c>
      <c r="I330" s="714"/>
      <c r="J330" s="755">
        <v>296698.2</v>
      </c>
      <c r="K330" s="773">
        <v>0</v>
      </c>
      <c r="L330" s="757">
        <f>450000-K330</f>
        <v>450000</v>
      </c>
      <c r="M330" s="756">
        <f>L330+K330</f>
        <v>450000</v>
      </c>
      <c r="N330" s="756">
        <v>450000</v>
      </c>
    </row>
    <row r="331" spans="1:14" ht="18" customHeight="1" x14ac:dyDescent="0.25">
      <c r="A331" s="654"/>
      <c r="B331" s="656"/>
      <c r="C331" s="656"/>
      <c r="D331" s="656" t="s">
        <v>381</v>
      </c>
      <c r="E331" s="656"/>
      <c r="F331" s="656"/>
      <c r="G331" s="657" t="s">
        <v>632</v>
      </c>
      <c r="H331" s="658" t="s">
        <v>757</v>
      </c>
      <c r="I331" s="714"/>
      <c r="J331" s="755">
        <v>267095.36</v>
      </c>
      <c r="K331" s="773">
        <v>0</v>
      </c>
      <c r="L331" s="757">
        <f>270000-K331</f>
        <v>270000</v>
      </c>
      <c r="M331" s="756">
        <f>L331+K331</f>
        <v>270000</v>
      </c>
      <c r="N331" s="756">
        <v>270000</v>
      </c>
    </row>
    <row r="332" spans="1:14" ht="18" customHeight="1" thickBot="1" x14ac:dyDescent="0.3">
      <c r="A332" s="663"/>
      <c r="B332" s="664"/>
      <c r="C332" s="664"/>
      <c r="D332" s="664" t="s">
        <v>572</v>
      </c>
      <c r="E332" s="664"/>
      <c r="F332" s="664"/>
      <c r="G332" s="695" t="s">
        <v>396</v>
      </c>
      <c r="H332" s="666" t="s">
        <v>718</v>
      </c>
      <c r="I332" s="718"/>
      <c r="J332" s="765">
        <v>575000</v>
      </c>
      <c r="K332" s="767">
        <v>0</v>
      </c>
      <c r="L332" s="767">
        <f>0-K332</f>
        <v>0</v>
      </c>
      <c r="M332" s="767">
        <f t="shared" si="7"/>
        <v>0</v>
      </c>
      <c r="N332" s="767">
        <v>0</v>
      </c>
    </row>
    <row r="333" spans="1:14" s="1316" customFormat="1" ht="18" customHeight="1" thickBot="1" x14ac:dyDescent="0.3">
      <c r="A333" s="673"/>
      <c r="B333" s="674"/>
      <c r="C333" s="674"/>
      <c r="D333" s="674" t="s">
        <v>763</v>
      </c>
      <c r="E333" s="674"/>
      <c r="F333" s="674"/>
      <c r="G333" s="719"/>
      <c r="H333" s="676"/>
      <c r="I333" s="720"/>
      <c r="J333" s="760">
        <f>SUM(J323:J332)</f>
        <v>4699994.4700000007</v>
      </c>
      <c r="K333" s="760">
        <f>SUM(K323:K332)</f>
        <v>1208679.3999999999</v>
      </c>
      <c r="L333" s="761">
        <f>SUM(L323:L332)</f>
        <v>3027320.6</v>
      </c>
      <c r="M333" s="760">
        <f>SUM(M323:M332)</f>
        <v>4236000</v>
      </c>
      <c r="N333" s="760">
        <f>SUM(N323:N332)</f>
        <v>3800118</v>
      </c>
    </row>
    <row r="334" spans="1:14" s="1316" customFormat="1" ht="18" customHeight="1" x14ac:dyDescent="0.25">
      <c r="A334" s="681"/>
      <c r="B334" s="682"/>
      <c r="C334" s="682"/>
      <c r="D334" s="682"/>
      <c r="E334" s="682"/>
      <c r="F334" s="682"/>
      <c r="G334" s="721"/>
      <c r="H334" s="722"/>
      <c r="I334" s="723"/>
      <c r="J334" s="780"/>
      <c r="K334" s="780"/>
      <c r="L334" s="781"/>
      <c r="M334" s="780"/>
      <c r="N334" s="780"/>
    </row>
    <row r="335" spans="1:14" ht="18" customHeight="1" x14ac:dyDescent="0.25">
      <c r="A335" s="654"/>
      <c r="B335" s="690" t="s">
        <v>573</v>
      </c>
      <c r="C335" s="690"/>
      <c r="D335" s="690"/>
      <c r="E335" s="690"/>
      <c r="F335" s="690"/>
      <c r="G335" s="657"/>
      <c r="H335" s="658"/>
      <c r="I335" s="714"/>
      <c r="J335" s="755"/>
      <c r="K335" s="756"/>
      <c r="L335" s="757"/>
      <c r="M335" s="756"/>
      <c r="N335" s="756"/>
    </row>
    <row r="336" spans="1:14" ht="18" customHeight="1" x14ac:dyDescent="0.25">
      <c r="A336" s="654"/>
      <c r="B336" s="690"/>
      <c r="C336" s="690"/>
      <c r="D336" s="656" t="s">
        <v>697</v>
      </c>
      <c r="E336" s="690"/>
      <c r="F336" s="690"/>
      <c r="G336" s="657"/>
      <c r="H336" s="658" t="s">
        <v>860</v>
      </c>
      <c r="I336" s="714"/>
      <c r="J336" s="755">
        <v>99990</v>
      </c>
      <c r="K336" s="773">
        <v>0</v>
      </c>
      <c r="L336" s="757">
        <f>117500-K336</f>
        <v>117500</v>
      </c>
      <c r="M336" s="756">
        <f>L336+K336</f>
        <v>117500</v>
      </c>
      <c r="N336" s="773">
        <v>0</v>
      </c>
    </row>
    <row r="337" spans="1:14" ht="18" customHeight="1" x14ac:dyDescent="0.25">
      <c r="A337" s="654"/>
      <c r="B337" s="690"/>
      <c r="C337" s="690"/>
      <c r="D337" s="656" t="s">
        <v>868</v>
      </c>
      <c r="E337" s="690"/>
      <c r="F337" s="690"/>
      <c r="G337" s="657" t="s">
        <v>932</v>
      </c>
      <c r="H337" s="658" t="s">
        <v>869</v>
      </c>
      <c r="I337" s="714"/>
      <c r="J337" s="755">
        <v>0</v>
      </c>
      <c r="K337" s="773">
        <v>0</v>
      </c>
      <c r="L337" s="773">
        <v>0</v>
      </c>
      <c r="M337" s="756">
        <f>L337+K337</f>
        <v>0</v>
      </c>
      <c r="N337" s="773">
        <f>20000</f>
        <v>20000</v>
      </c>
    </row>
    <row r="338" spans="1:14" ht="18" customHeight="1" x14ac:dyDescent="0.25">
      <c r="A338" s="654"/>
      <c r="B338" s="690"/>
      <c r="C338" s="690"/>
      <c r="D338" s="656" t="s">
        <v>1645</v>
      </c>
      <c r="E338" s="656"/>
      <c r="F338" s="715"/>
      <c r="G338" s="809"/>
      <c r="H338" s="658" t="s">
        <v>980</v>
      </c>
      <c r="I338" s="714"/>
      <c r="J338" s="755">
        <v>0</v>
      </c>
      <c r="K338" s="773">
        <v>0</v>
      </c>
      <c r="L338" s="773">
        <v>0</v>
      </c>
      <c r="M338" s="756">
        <f t="shared" ref="M338:M340" si="8">L338+K338</f>
        <v>0</v>
      </c>
      <c r="N338" s="773">
        <v>15000</v>
      </c>
    </row>
    <row r="339" spans="1:14" ht="18" customHeight="1" x14ac:dyDescent="0.25">
      <c r="A339" s="654"/>
      <c r="B339" s="690"/>
      <c r="C339" s="690"/>
      <c r="D339" s="656" t="s">
        <v>1644</v>
      </c>
      <c r="E339" s="656"/>
      <c r="F339" s="715"/>
      <c r="G339" s="809"/>
      <c r="H339" s="658" t="s">
        <v>870</v>
      </c>
      <c r="I339" s="714"/>
      <c r="J339" s="755">
        <v>0</v>
      </c>
      <c r="K339" s="773">
        <v>0</v>
      </c>
      <c r="L339" s="773">
        <v>0</v>
      </c>
      <c r="M339" s="756">
        <f t="shared" si="8"/>
        <v>0</v>
      </c>
      <c r="N339" s="773">
        <v>90000</v>
      </c>
    </row>
    <row r="340" spans="1:14" ht="18" customHeight="1" thickBot="1" x14ac:dyDescent="0.3">
      <c r="A340" s="654"/>
      <c r="B340" s="690"/>
      <c r="C340" s="690"/>
      <c r="D340" s="656" t="s">
        <v>1646</v>
      </c>
      <c r="E340" s="656"/>
      <c r="F340" s="715"/>
      <c r="G340" s="809"/>
      <c r="H340" s="658" t="s">
        <v>1647</v>
      </c>
      <c r="I340" s="714"/>
      <c r="J340" s="755">
        <v>0</v>
      </c>
      <c r="K340" s="773">
        <v>0</v>
      </c>
      <c r="L340" s="773">
        <v>0</v>
      </c>
      <c r="M340" s="756">
        <f t="shared" si="8"/>
        <v>0</v>
      </c>
      <c r="N340" s="773">
        <v>15000</v>
      </c>
    </row>
    <row r="341" spans="1:14" s="1316" customFormat="1" ht="18" customHeight="1" thickBot="1" x14ac:dyDescent="0.3">
      <c r="A341" s="673"/>
      <c r="B341" s="674"/>
      <c r="C341" s="674"/>
      <c r="D341" s="674" t="s">
        <v>764</v>
      </c>
      <c r="E341" s="674"/>
      <c r="F341" s="674"/>
      <c r="G341" s="675"/>
      <c r="H341" s="675"/>
      <c r="I341" s="720"/>
      <c r="J341" s="760">
        <f>SUM(J336:J340)</f>
        <v>99990</v>
      </c>
      <c r="K341" s="760">
        <f t="shared" ref="K341:N341" si="9">SUM(K336:K340)</f>
        <v>0</v>
      </c>
      <c r="L341" s="760">
        <f t="shared" si="9"/>
        <v>117500</v>
      </c>
      <c r="M341" s="760">
        <f t="shared" si="9"/>
        <v>117500</v>
      </c>
      <c r="N341" s="760">
        <f t="shared" si="9"/>
        <v>140000</v>
      </c>
    </row>
    <row r="342" spans="1:14" s="1316" customFormat="1" ht="18" hidden="1" customHeight="1" thickBot="1" x14ac:dyDescent="0.3">
      <c r="A342" s="681"/>
      <c r="B342" s="682"/>
      <c r="C342" s="682"/>
      <c r="D342" s="682"/>
      <c r="E342" s="682"/>
      <c r="F342" s="682"/>
      <c r="G342" s="683"/>
      <c r="H342" s="683"/>
      <c r="I342" s="723"/>
      <c r="J342" s="780"/>
      <c r="K342" s="780"/>
      <c r="L342" s="781"/>
      <c r="M342" s="780"/>
      <c r="N342" s="780"/>
    </row>
    <row r="343" spans="1:14" ht="18" hidden="1" customHeight="1" x14ac:dyDescent="0.25">
      <c r="A343" s="654"/>
      <c r="B343" s="690" t="s">
        <v>574</v>
      </c>
      <c r="C343" s="656"/>
      <c r="D343" s="656"/>
      <c r="E343" s="656"/>
      <c r="F343" s="656"/>
      <c r="G343" s="657"/>
      <c r="H343" s="657"/>
      <c r="I343" s="714"/>
      <c r="J343" s="755"/>
      <c r="K343" s="756"/>
      <c r="L343" s="757"/>
      <c r="M343" s="756"/>
      <c r="N343" s="756"/>
    </row>
    <row r="344" spans="1:14" ht="18" hidden="1" customHeight="1" thickBot="1" x14ac:dyDescent="0.3">
      <c r="A344" s="663"/>
      <c r="B344" s="664"/>
      <c r="C344" s="664"/>
      <c r="D344" s="664" t="s">
        <v>426</v>
      </c>
      <c r="E344" s="664"/>
      <c r="F344" s="664"/>
      <c r="G344" s="665"/>
      <c r="H344" s="665"/>
      <c r="I344" s="718"/>
      <c r="J344" s="758">
        <v>0</v>
      </c>
      <c r="K344" s="777">
        <f>0</f>
        <v>0</v>
      </c>
      <c r="L344" s="777">
        <v>0</v>
      </c>
      <c r="M344" s="759">
        <f>L344+K344</f>
        <v>0</v>
      </c>
      <c r="N344" s="759">
        <v>0</v>
      </c>
    </row>
    <row r="345" spans="1:14" s="1316" customFormat="1" ht="18" customHeight="1" thickBot="1" x14ac:dyDescent="0.3">
      <c r="A345" s="673" t="s">
        <v>19</v>
      </c>
      <c r="B345" s="674"/>
      <c r="C345" s="674"/>
      <c r="D345" s="674"/>
      <c r="E345" s="674"/>
      <c r="F345" s="674"/>
      <c r="G345" s="675"/>
      <c r="H345" s="675"/>
      <c r="I345" s="720"/>
      <c r="J345" s="699">
        <f>SUM(J344+J341+J333+J321)</f>
        <v>12149201.470000001</v>
      </c>
      <c r="K345" s="699">
        <f>SUM(K344+K341+K333+K321)</f>
        <v>5352438.5600000005</v>
      </c>
      <c r="L345" s="700">
        <f>SUM(L344+L341+L333+L321)</f>
        <v>7381938.1799999997</v>
      </c>
      <c r="M345" s="699">
        <f>SUM(M344+M341+M333+M321)</f>
        <v>12734376.74</v>
      </c>
      <c r="N345" s="699">
        <f>SUM(N344+N341+N333+N321)</f>
        <v>12089057</v>
      </c>
    </row>
    <row r="346" spans="1:14" s="1316" customFormat="1" ht="18" customHeight="1" thickBot="1" x14ac:dyDescent="0.3">
      <c r="A346" s="707" t="s">
        <v>578</v>
      </c>
      <c r="B346" s="674"/>
      <c r="C346" s="674"/>
      <c r="D346" s="674"/>
      <c r="E346" s="674"/>
      <c r="F346" s="674"/>
      <c r="G346" s="675"/>
      <c r="H346" s="675"/>
      <c r="I346" s="720"/>
      <c r="J346" s="738">
        <f>J250-J345</f>
        <v>1882673.1499999985</v>
      </c>
      <c r="K346" s="738">
        <f>K250-K345</f>
        <v>4114139.0600000005</v>
      </c>
      <c r="L346" s="804">
        <f>L250-L345</f>
        <v>-2954583.38</v>
      </c>
      <c r="M346" s="738">
        <f>M250-M345</f>
        <v>1159555.6799999997</v>
      </c>
      <c r="N346" s="739">
        <f>N250-N345</f>
        <v>3943</v>
      </c>
    </row>
    <row r="347" spans="1:14" s="1321" customFormat="1" ht="18" customHeight="1" x14ac:dyDescent="0.25">
      <c r="A347" s="782"/>
      <c r="B347" s="782"/>
      <c r="C347" s="782"/>
      <c r="D347" s="782"/>
      <c r="E347" s="782"/>
      <c r="F347" s="782"/>
      <c r="G347" s="783"/>
      <c r="H347" s="784"/>
      <c r="I347" s="882"/>
      <c r="J347" s="785"/>
      <c r="K347" s="785"/>
      <c r="L347" s="786"/>
      <c r="M347" s="785"/>
      <c r="N347" s="785"/>
    </row>
    <row r="348" spans="1:14" s="1321" customFormat="1" ht="18" customHeight="1" x14ac:dyDescent="0.25">
      <c r="A348" s="782"/>
      <c r="B348" s="782"/>
      <c r="C348" s="782"/>
      <c r="D348" s="782"/>
      <c r="E348" s="782"/>
      <c r="F348" s="782"/>
      <c r="G348" s="783"/>
      <c r="H348" s="784"/>
      <c r="I348" s="882"/>
      <c r="J348" s="785"/>
      <c r="K348" s="785"/>
      <c r="L348" s="786"/>
      <c r="M348" s="785"/>
      <c r="N348" s="785"/>
    </row>
    <row r="349" spans="1:14" s="1321" customFormat="1" ht="18" customHeight="1" x14ac:dyDescent="0.25">
      <c r="A349" s="782"/>
      <c r="B349" s="782"/>
      <c r="C349" s="782"/>
      <c r="D349" s="782"/>
      <c r="E349" s="782"/>
      <c r="F349" s="782"/>
      <c r="G349" s="783"/>
      <c r="H349" s="784"/>
      <c r="I349" s="882"/>
      <c r="J349" s="785"/>
      <c r="K349" s="785"/>
      <c r="L349" s="786"/>
      <c r="M349" s="785"/>
      <c r="N349" s="785"/>
    </row>
    <row r="350" spans="1:14" s="1321" customFormat="1" ht="18" customHeight="1" x14ac:dyDescent="0.25">
      <c r="A350" s="782"/>
      <c r="B350" s="782"/>
      <c r="C350" s="782"/>
      <c r="D350" s="782"/>
      <c r="E350" s="782"/>
      <c r="F350" s="782"/>
      <c r="G350" s="783"/>
      <c r="H350" s="784"/>
      <c r="I350" s="882"/>
      <c r="J350" s="785"/>
      <c r="K350" s="785"/>
      <c r="L350" s="786"/>
      <c r="M350" s="785"/>
      <c r="N350" s="785"/>
    </row>
    <row r="351" spans="1:14" s="1321" customFormat="1" ht="18" customHeight="1" x14ac:dyDescent="0.25">
      <c r="A351" s="782"/>
      <c r="B351" s="782"/>
      <c r="C351" s="782"/>
      <c r="D351" s="782"/>
      <c r="E351" s="782"/>
      <c r="F351" s="782"/>
      <c r="G351" s="783"/>
      <c r="H351" s="784"/>
      <c r="I351" s="882"/>
      <c r="J351" s="785"/>
      <c r="K351" s="785"/>
      <c r="L351" s="786"/>
      <c r="M351" s="785"/>
      <c r="N351" s="785"/>
    </row>
    <row r="352" spans="1:14" s="1321" customFormat="1" ht="18" customHeight="1" x14ac:dyDescent="0.25">
      <c r="A352" s="782"/>
      <c r="B352" s="782"/>
      <c r="C352" s="782"/>
      <c r="D352" s="782"/>
      <c r="E352" s="782"/>
      <c r="F352" s="782"/>
      <c r="G352" s="783"/>
      <c r="H352" s="784"/>
      <c r="I352" s="882"/>
      <c r="J352" s="785"/>
      <c r="K352" s="785"/>
      <c r="L352" s="786"/>
      <c r="M352" s="785"/>
      <c r="N352" s="785"/>
    </row>
    <row r="353" spans="1:14" s="1321" customFormat="1" ht="18" customHeight="1" x14ac:dyDescent="0.25">
      <c r="A353" s="782"/>
      <c r="B353" s="782"/>
      <c r="C353" s="782"/>
      <c r="D353" s="782"/>
      <c r="E353" s="782"/>
      <c r="F353" s="782"/>
      <c r="G353" s="783"/>
      <c r="H353" s="784"/>
      <c r="I353" s="882"/>
      <c r="J353" s="785"/>
      <c r="K353" s="785"/>
      <c r="L353" s="786"/>
      <c r="M353" s="785"/>
      <c r="N353" s="785"/>
    </row>
    <row r="354" spans="1:14" s="1321" customFormat="1" ht="18" customHeight="1" x14ac:dyDescent="0.25">
      <c r="A354" s="782"/>
      <c r="B354" s="782"/>
      <c r="C354" s="782"/>
      <c r="D354" s="782"/>
      <c r="E354" s="782"/>
      <c r="F354" s="782"/>
      <c r="G354" s="783"/>
      <c r="H354" s="784"/>
      <c r="I354" s="882"/>
      <c r="J354" s="785"/>
      <c r="K354" s="785"/>
      <c r="L354" s="786"/>
      <c r="M354" s="785"/>
      <c r="N354" s="785"/>
    </row>
    <row r="355" spans="1:14" s="1321" customFormat="1" ht="18" customHeight="1" x14ac:dyDescent="0.25">
      <c r="A355" s="782"/>
      <c r="B355" s="782"/>
      <c r="C355" s="782"/>
      <c r="D355" s="782"/>
      <c r="E355" s="782"/>
      <c r="F355" s="782"/>
      <c r="G355" s="783"/>
      <c r="H355" s="784"/>
      <c r="I355" s="882"/>
      <c r="J355" s="785"/>
      <c r="K355" s="785"/>
      <c r="L355" s="786"/>
      <c r="M355" s="785"/>
      <c r="N355" s="785"/>
    </row>
    <row r="356" spans="1:14" s="1321" customFormat="1" ht="18" customHeight="1" x14ac:dyDescent="0.25">
      <c r="A356" s="782"/>
      <c r="B356" s="782"/>
      <c r="C356" s="782"/>
      <c r="D356" s="782"/>
      <c r="E356" s="782"/>
      <c r="F356" s="782"/>
      <c r="G356" s="783"/>
      <c r="H356" s="784"/>
      <c r="I356" s="882"/>
      <c r="J356" s="785"/>
      <c r="K356" s="785"/>
      <c r="L356" s="786"/>
      <c r="M356" s="785"/>
      <c r="N356" s="785"/>
    </row>
    <row r="357" spans="1:14" s="1321" customFormat="1" ht="18" customHeight="1" x14ac:dyDescent="0.25">
      <c r="A357" s="782"/>
      <c r="B357" s="782"/>
      <c r="C357" s="782"/>
      <c r="D357" s="782"/>
      <c r="E357" s="782"/>
      <c r="F357" s="782"/>
      <c r="G357" s="783"/>
      <c r="H357" s="784"/>
      <c r="I357" s="882"/>
      <c r="J357" s="785"/>
      <c r="K357" s="785"/>
      <c r="L357" s="786"/>
      <c r="M357" s="785"/>
      <c r="N357" s="785"/>
    </row>
    <row r="358" spans="1:14" s="1321" customFormat="1" ht="18" customHeight="1" x14ac:dyDescent="0.25">
      <c r="A358" s="782"/>
      <c r="B358" s="782"/>
      <c r="C358" s="782"/>
      <c r="D358" s="782"/>
      <c r="E358" s="782"/>
      <c r="F358" s="782"/>
      <c r="G358" s="783"/>
      <c r="H358" s="784"/>
      <c r="I358" s="882"/>
      <c r="J358" s="785"/>
      <c r="K358" s="785"/>
      <c r="L358" s="786"/>
      <c r="M358" s="785"/>
      <c r="N358" s="785"/>
    </row>
    <row r="359" spans="1:14" s="1321" customFormat="1" ht="18" customHeight="1" x14ac:dyDescent="0.25">
      <c r="A359" s="782"/>
      <c r="B359" s="782"/>
      <c r="C359" s="782"/>
      <c r="D359" s="782"/>
      <c r="E359" s="782"/>
      <c r="F359" s="782"/>
      <c r="G359" s="783"/>
      <c r="H359" s="784"/>
      <c r="I359" s="882"/>
      <c r="J359" s="785"/>
      <c r="K359" s="785"/>
      <c r="L359" s="786"/>
      <c r="M359" s="785"/>
      <c r="N359" s="785"/>
    </row>
    <row r="360" spans="1:14" s="1321" customFormat="1" ht="18" customHeight="1" x14ac:dyDescent="0.25">
      <c r="A360" s="782"/>
      <c r="B360" s="782"/>
      <c r="C360" s="782"/>
      <c r="D360" s="782"/>
      <c r="E360" s="782"/>
      <c r="F360" s="782"/>
      <c r="G360" s="783"/>
      <c r="H360" s="784"/>
      <c r="I360" s="882"/>
      <c r="J360" s="785"/>
      <c r="K360" s="785"/>
      <c r="L360" s="786"/>
      <c r="M360" s="785"/>
      <c r="N360" s="785"/>
    </row>
    <row r="361" spans="1:14" s="1321" customFormat="1" ht="20.100000000000001" customHeight="1" x14ac:dyDescent="0.35">
      <c r="A361" s="1065" t="s">
        <v>1015</v>
      </c>
      <c r="B361" s="1065"/>
      <c r="C361" s="1065"/>
      <c r="D361" s="1065"/>
      <c r="E361" s="1065"/>
      <c r="F361" s="1065"/>
      <c r="G361" s="1065"/>
      <c r="H361" s="1065"/>
      <c r="I361" s="1065"/>
      <c r="J361" s="1065"/>
      <c r="K361" s="1065"/>
      <c r="L361" s="1065"/>
      <c r="M361" s="1065"/>
      <c r="N361" s="1065"/>
    </row>
    <row r="362" spans="1:14" s="1321" customFormat="1" ht="18" customHeight="1" x14ac:dyDescent="0.25">
      <c r="A362" s="782"/>
      <c r="B362" s="782"/>
      <c r="C362" s="782"/>
      <c r="D362" s="782"/>
      <c r="E362" s="782"/>
      <c r="F362" s="782"/>
      <c r="G362" s="783"/>
      <c r="H362" s="784"/>
      <c r="I362" s="882"/>
      <c r="J362" s="785"/>
      <c r="K362" s="785"/>
      <c r="L362" s="786"/>
      <c r="M362" s="785"/>
      <c r="N362" s="785"/>
    </row>
    <row r="363" spans="1:14" s="1321" customFormat="1" ht="18" customHeight="1" x14ac:dyDescent="0.25">
      <c r="A363" s="782"/>
      <c r="B363" s="782"/>
      <c r="C363" s="782"/>
      <c r="D363" s="782"/>
      <c r="E363" s="782"/>
      <c r="F363" s="782"/>
      <c r="G363" s="783"/>
      <c r="H363" s="784"/>
      <c r="I363" s="882"/>
      <c r="J363" s="785"/>
      <c r="K363" s="785"/>
      <c r="L363" s="786"/>
      <c r="M363" s="785"/>
      <c r="N363" s="785"/>
    </row>
    <row r="364" spans="1:14" s="1321" customFormat="1" ht="18" customHeight="1" x14ac:dyDescent="0.25">
      <c r="A364" s="782"/>
      <c r="B364" s="782"/>
      <c r="C364" s="782"/>
      <c r="D364" s="782"/>
      <c r="E364" s="782"/>
      <c r="F364" s="782"/>
      <c r="G364" s="783"/>
      <c r="H364" s="784"/>
      <c r="I364" s="882"/>
      <c r="J364" s="785"/>
      <c r="K364" s="785"/>
      <c r="L364" s="786"/>
      <c r="M364" s="785"/>
      <c r="N364" s="785"/>
    </row>
    <row r="365" spans="1:14" s="1321" customFormat="1" ht="18" customHeight="1" x14ac:dyDescent="0.25">
      <c r="A365" s="782"/>
      <c r="B365" s="782"/>
      <c r="C365" s="782"/>
      <c r="D365" s="782"/>
      <c r="E365" s="782"/>
      <c r="F365" s="782"/>
      <c r="G365" s="783"/>
      <c r="H365" s="784"/>
      <c r="I365" s="882"/>
      <c r="J365" s="785"/>
      <c r="K365" s="785"/>
      <c r="L365" s="786"/>
      <c r="M365" s="785"/>
      <c r="N365" s="785"/>
    </row>
    <row r="366" spans="1:14" s="1321" customFormat="1" ht="18" customHeight="1" x14ac:dyDescent="0.25">
      <c r="A366" s="782"/>
      <c r="B366" s="782"/>
      <c r="C366" s="782"/>
      <c r="D366" s="782"/>
      <c r="E366" s="782"/>
      <c r="F366" s="782"/>
      <c r="G366" s="783"/>
      <c r="H366" s="784"/>
      <c r="I366" s="882"/>
      <c r="J366" s="785"/>
      <c r="K366" s="785"/>
      <c r="L366" s="786"/>
      <c r="M366" s="785"/>
      <c r="N366" s="785"/>
    </row>
    <row r="367" spans="1:14" s="1321" customFormat="1" ht="18" customHeight="1" x14ac:dyDescent="0.25">
      <c r="A367" s="782"/>
      <c r="B367" s="782"/>
      <c r="C367" s="782"/>
      <c r="D367" s="782"/>
      <c r="E367" s="782"/>
      <c r="F367" s="782"/>
      <c r="G367" s="783"/>
      <c r="H367" s="784"/>
      <c r="I367" s="882"/>
      <c r="J367" s="785"/>
      <c r="K367" s="785"/>
      <c r="L367" s="786"/>
      <c r="M367" s="785"/>
      <c r="N367" s="785"/>
    </row>
    <row r="368" spans="1:14" s="1321" customFormat="1" ht="18" customHeight="1" x14ac:dyDescent="0.25">
      <c r="A368" s="782"/>
      <c r="B368" s="782"/>
      <c r="C368" s="782"/>
      <c r="D368" s="782"/>
      <c r="E368" s="782"/>
      <c r="F368" s="782"/>
      <c r="G368" s="783"/>
      <c r="H368" s="784"/>
      <c r="I368" s="882"/>
      <c r="J368" s="785"/>
      <c r="K368" s="785"/>
      <c r="L368" s="786"/>
      <c r="M368" s="785"/>
      <c r="N368" s="785"/>
    </row>
    <row r="369" spans="1:14" s="1321" customFormat="1" ht="18" customHeight="1" x14ac:dyDescent="0.25">
      <c r="A369" s="782"/>
      <c r="B369" s="782"/>
      <c r="C369" s="782"/>
      <c r="D369" s="782"/>
      <c r="E369" s="782"/>
      <c r="F369" s="782"/>
      <c r="G369" s="783"/>
      <c r="H369" s="784"/>
      <c r="I369" s="882"/>
      <c r="J369" s="785"/>
      <c r="K369" s="785"/>
      <c r="L369" s="786"/>
      <c r="M369" s="785"/>
      <c r="N369" s="785"/>
    </row>
    <row r="370" spans="1:14" s="1321" customFormat="1" ht="18" customHeight="1" x14ac:dyDescent="0.25">
      <c r="A370" s="782"/>
      <c r="B370" s="782"/>
      <c r="C370" s="782"/>
      <c r="D370" s="782"/>
      <c r="E370" s="782"/>
      <c r="F370" s="782"/>
      <c r="G370" s="783"/>
      <c r="H370" s="784"/>
      <c r="I370" s="882"/>
      <c r="J370" s="785"/>
      <c r="K370" s="785"/>
      <c r="L370" s="786"/>
      <c r="M370" s="785"/>
      <c r="N370" s="785"/>
    </row>
    <row r="371" spans="1:14" s="1321" customFormat="1" ht="18" customHeight="1" x14ac:dyDescent="0.25">
      <c r="A371" s="782"/>
      <c r="B371" s="782"/>
      <c r="C371" s="782"/>
      <c r="D371" s="782"/>
      <c r="E371" s="782"/>
      <c r="F371" s="782"/>
      <c r="G371" s="783"/>
      <c r="H371" s="784"/>
      <c r="I371" s="882"/>
      <c r="J371" s="785"/>
      <c r="K371" s="785"/>
      <c r="L371" s="786"/>
      <c r="M371" s="785"/>
      <c r="N371" s="785"/>
    </row>
    <row r="372" spans="1:14" ht="18" customHeight="1" x14ac:dyDescent="0.2">
      <c r="A372" s="1069" t="s">
        <v>585</v>
      </c>
      <c r="B372" s="1069"/>
      <c r="C372" s="1069"/>
      <c r="D372" s="1069"/>
      <c r="E372" s="1069"/>
      <c r="F372" s="1069"/>
      <c r="G372" s="1069"/>
      <c r="H372" s="1069"/>
      <c r="I372" s="1069"/>
      <c r="J372" s="1069"/>
      <c r="K372" s="1069"/>
      <c r="L372" s="1069"/>
      <c r="M372" s="1069"/>
      <c r="N372" s="1069"/>
    </row>
    <row r="373" spans="1:14" ht="18" customHeight="1" x14ac:dyDescent="0.2">
      <c r="A373" s="1069"/>
      <c r="B373" s="1069"/>
      <c r="C373" s="1069"/>
      <c r="D373" s="1069"/>
      <c r="E373" s="1069"/>
      <c r="F373" s="1069"/>
      <c r="G373" s="1069"/>
      <c r="H373" s="1069"/>
      <c r="I373" s="1069"/>
      <c r="J373" s="1069"/>
      <c r="K373" s="1069"/>
      <c r="L373" s="1069"/>
      <c r="M373" s="1069"/>
      <c r="N373" s="1069"/>
    </row>
    <row r="374" spans="1:14" ht="18" customHeight="1" x14ac:dyDescent="0.25">
      <c r="A374" s="788"/>
      <c r="B374" s="789" t="s">
        <v>11</v>
      </c>
      <c r="C374" s="788"/>
      <c r="D374" s="788"/>
      <c r="E374" s="788"/>
      <c r="F374" s="788"/>
      <c r="G374" s="788"/>
      <c r="H374" s="788"/>
      <c r="I374" s="790"/>
      <c r="J374" s="788"/>
      <c r="K374" s="788"/>
      <c r="L374" s="791"/>
      <c r="M374" s="791"/>
      <c r="N374" s="788"/>
    </row>
    <row r="375" spans="1:14" ht="18" customHeight="1" x14ac:dyDescent="0.25">
      <c r="A375" s="788"/>
      <c r="B375" s="788"/>
      <c r="C375" s="788"/>
      <c r="D375" s="788"/>
      <c r="E375" s="788"/>
      <c r="F375" s="788"/>
      <c r="G375" s="788"/>
      <c r="H375" s="788"/>
      <c r="I375" s="790"/>
      <c r="J375" s="788"/>
      <c r="K375" s="788"/>
      <c r="L375" s="791"/>
      <c r="M375" s="791"/>
      <c r="N375" s="788"/>
    </row>
    <row r="376" spans="1:14" ht="18" customHeight="1" x14ac:dyDescent="0.25">
      <c r="A376" s="792"/>
      <c r="B376" s="793"/>
      <c r="C376" s="792"/>
      <c r="D376" s="792"/>
      <c r="E376" s="792"/>
      <c r="F376" s="792"/>
      <c r="G376" s="874"/>
      <c r="H376" s="874"/>
      <c r="I376" s="879"/>
      <c r="J376" s="874"/>
      <c r="K376" s="794"/>
      <c r="L376" s="795"/>
      <c r="M376" s="795"/>
      <c r="N376" s="794"/>
    </row>
    <row r="377" spans="1:14" ht="18" customHeight="1" x14ac:dyDescent="0.25">
      <c r="A377" s="792"/>
      <c r="B377" s="793"/>
      <c r="C377" s="792"/>
      <c r="D377" s="796"/>
      <c r="E377" s="796"/>
      <c r="F377" s="873" t="s">
        <v>91</v>
      </c>
      <c r="G377" s="873"/>
      <c r="H377" s="1080" t="s">
        <v>17</v>
      </c>
      <c r="I377" s="1080"/>
      <c r="J377" s="1080"/>
      <c r="K377" s="797" t="s">
        <v>53</v>
      </c>
      <c r="L377" s="795"/>
      <c r="M377" s="1078" t="s">
        <v>809</v>
      </c>
      <c r="N377" s="1078"/>
    </row>
    <row r="378" spans="1:14" ht="18" customHeight="1" x14ac:dyDescent="0.25">
      <c r="A378" s="792"/>
      <c r="B378" s="793"/>
      <c r="C378" s="792"/>
      <c r="D378" s="796"/>
      <c r="E378" s="796"/>
      <c r="F378" s="874" t="s">
        <v>1021</v>
      </c>
      <c r="G378" s="874"/>
      <c r="H378" s="1081" t="s">
        <v>18</v>
      </c>
      <c r="I378" s="1081"/>
      <c r="J378" s="1081"/>
      <c r="K378" s="798" t="s">
        <v>807</v>
      </c>
      <c r="L378" s="795"/>
      <c r="M378" s="1079" t="s">
        <v>248</v>
      </c>
      <c r="N378" s="1079"/>
    </row>
    <row r="379" spans="1:14" ht="18" customHeight="1" x14ac:dyDescent="0.25">
      <c r="A379" s="792"/>
      <c r="B379" s="793"/>
      <c r="C379" s="792"/>
      <c r="D379" s="792"/>
      <c r="E379" s="792"/>
      <c r="F379" s="792"/>
      <c r="G379" s="874"/>
      <c r="H379" s="874"/>
      <c r="I379" s="879"/>
      <c r="J379" s="874"/>
      <c r="K379" s="794"/>
      <c r="L379" s="795"/>
      <c r="M379" s="795"/>
      <c r="N379" s="794"/>
    </row>
    <row r="380" spans="1:14" ht="18" customHeight="1" x14ac:dyDescent="0.25">
      <c r="A380" s="792"/>
      <c r="B380" s="793"/>
      <c r="C380" s="792"/>
      <c r="D380" s="792"/>
      <c r="E380" s="792"/>
      <c r="F380" s="792"/>
      <c r="G380" s="874"/>
      <c r="H380" s="874"/>
      <c r="I380" s="879"/>
      <c r="J380" s="874"/>
      <c r="K380" s="794"/>
      <c r="L380" s="795"/>
      <c r="M380" s="795"/>
      <c r="N380" s="794"/>
    </row>
    <row r="381" spans="1:14" ht="18" customHeight="1" x14ac:dyDescent="0.25">
      <c r="A381" s="792"/>
      <c r="B381" s="793"/>
      <c r="C381" s="792"/>
      <c r="D381" s="796"/>
      <c r="E381" s="792"/>
      <c r="F381" s="792" t="s">
        <v>264</v>
      </c>
      <c r="G381" s="874"/>
      <c r="H381" s="874"/>
      <c r="I381" s="879"/>
      <c r="J381" s="874"/>
      <c r="K381" s="794"/>
      <c r="L381" s="795"/>
      <c r="M381" s="795"/>
      <c r="N381" s="794"/>
    </row>
    <row r="382" spans="1:14" ht="18" customHeight="1" x14ac:dyDescent="0.25">
      <c r="A382" s="792"/>
      <c r="B382" s="793"/>
      <c r="C382" s="792"/>
      <c r="D382" s="792"/>
      <c r="E382" s="792"/>
      <c r="F382" s="792"/>
      <c r="G382" s="874"/>
      <c r="H382" s="874"/>
      <c r="I382" s="879"/>
      <c r="J382" s="874"/>
      <c r="K382" s="794"/>
      <c r="L382" s="795"/>
      <c r="M382" s="795"/>
      <c r="N382" s="794"/>
    </row>
    <row r="383" spans="1:14" ht="18" customHeight="1" x14ac:dyDescent="0.25">
      <c r="A383" s="792"/>
      <c r="B383" s="793"/>
      <c r="C383" s="792"/>
      <c r="D383" s="796"/>
      <c r="E383" s="792"/>
      <c r="F383" s="873" t="s">
        <v>1495</v>
      </c>
      <c r="G383" s="873"/>
      <c r="H383" s="874"/>
      <c r="I383" s="879"/>
      <c r="J383" s="874"/>
      <c r="K383" s="794"/>
      <c r="L383" s="795"/>
      <c r="M383" s="795"/>
      <c r="N383" s="794"/>
    </row>
    <row r="384" spans="1:14" ht="18" customHeight="1" x14ac:dyDescent="0.25">
      <c r="A384" s="792"/>
      <c r="B384" s="793"/>
      <c r="C384" s="792"/>
      <c r="D384" s="796"/>
      <c r="E384" s="792"/>
      <c r="F384" s="874" t="s">
        <v>14</v>
      </c>
      <c r="G384" s="874"/>
      <c r="H384" s="874"/>
      <c r="I384" s="879"/>
      <c r="J384" s="874"/>
      <c r="K384" s="794"/>
      <c r="L384" s="795"/>
      <c r="M384" s="795"/>
      <c r="N384" s="794"/>
    </row>
    <row r="385" spans="1:14" ht="18" customHeight="1" x14ac:dyDescent="0.25">
      <c r="A385" s="792"/>
      <c r="B385" s="793"/>
      <c r="C385" s="792"/>
      <c r="D385" s="796"/>
      <c r="E385" s="792"/>
      <c r="F385" s="792"/>
      <c r="G385" s="874"/>
      <c r="H385" s="874"/>
      <c r="I385" s="879"/>
      <c r="J385" s="874"/>
      <c r="K385" s="794"/>
      <c r="L385" s="795"/>
      <c r="M385" s="795"/>
      <c r="N385" s="794"/>
    </row>
    <row r="386" spans="1:14" ht="18" customHeight="1" x14ac:dyDescent="0.25">
      <c r="A386" s="792"/>
      <c r="B386" s="793"/>
      <c r="C386" s="792"/>
      <c r="D386" s="796"/>
      <c r="E386" s="792"/>
      <c r="F386" s="792"/>
      <c r="G386" s="874"/>
      <c r="H386" s="874"/>
      <c r="I386" s="879"/>
      <c r="J386" s="874"/>
      <c r="K386" s="794"/>
      <c r="L386" s="795"/>
      <c r="M386" s="795"/>
      <c r="N386" s="794"/>
    </row>
    <row r="387" spans="1:14" ht="18" customHeight="1" x14ac:dyDescent="0.25">
      <c r="A387" s="792"/>
      <c r="B387" s="793"/>
      <c r="C387" s="792"/>
      <c r="D387" s="796"/>
      <c r="E387" s="792"/>
      <c r="F387" s="792"/>
      <c r="G387" s="874"/>
      <c r="H387" s="874"/>
      <c r="I387" s="879"/>
      <c r="J387" s="874"/>
      <c r="K387" s="794"/>
      <c r="L387" s="795"/>
      <c r="M387" s="795"/>
      <c r="N387" s="794"/>
    </row>
    <row r="388" spans="1:14" ht="18" customHeight="1" x14ac:dyDescent="0.25">
      <c r="A388" s="792"/>
      <c r="B388" s="793"/>
      <c r="C388" s="792"/>
      <c r="D388" s="796"/>
      <c r="E388" s="792"/>
      <c r="F388" s="792"/>
      <c r="G388" s="874"/>
      <c r="H388" s="874"/>
      <c r="I388" s="879"/>
      <c r="J388" s="874"/>
      <c r="K388" s="794"/>
      <c r="L388" s="795"/>
      <c r="M388" s="795"/>
      <c r="N388" s="794"/>
    </row>
    <row r="389" spans="1:14" ht="18" customHeight="1" x14ac:dyDescent="0.25">
      <c r="A389" s="792"/>
      <c r="B389" s="793"/>
      <c r="C389" s="792"/>
      <c r="D389" s="796"/>
      <c r="E389" s="792"/>
      <c r="F389" s="792"/>
      <c r="G389" s="874"/>
      <c r="H389" s="874"/>
      <c r="I389" s="879"/>
      <c r="J389" s="874"/>
      <c r="K389" s="794"/>
      <c r="L389" s="795"/>
      <c r="M389" s="795"/>
      <c r="N389" s="794"/>
    </row>
    <row r="390" spans="1:14" ht="18" customHeight="1" x14ac:dyDescent="0.25">
      <c r="A390" s="792"/>
      <c r="B390" s="793"/>
      <c r="C390" s="792"/>
      <c r="D390" s="796"/>
      <c r="E390" s="792"/>
      <c r="F390" s="792"/>
      <c r="G390" s="874"/>
      <c r="H390" s="874"/>
      <c r="I390" s="879"/>
      <c r="J390" s="874"/>
      <c r="K390" s="794"/>
      <c r="L390" s="795"/>
      <c r="M390" s="795"/>
      <c r="N390" s="794"/>
    </row>
    <row r="391" spans="1:14" s="1321" customFormat="1" ht="18" customHeight="1" x14ac:dyDescent="0.25">
      <c r="A391" s="799"/>
      <c r="B391" s="782"/>
      <c r="C391" s="799"/>
      <c r="D391" s="787"/>
      <c r="E391" s="799"/>
      <c r="F391" s="799"/>
      <c r="G391" s="784"/>
      <c r="H391" s="784"/>
      <c r="I391" s="882"/>
      <c r="J391" s="800"/>
      <c r="K391" s="785"/>
      <c r="L391" s="786"/>
      <c r="M391" s="786"/>
      <c r="N391" s="785"/>
    </row>
    <row r="392" spans="1:14" ht="18" customHeight="1" x14ac:dyDescent="0.25">
      <c r="A392" s="792"/>
      <c r="B392" s="793"/>
      <c r="C392" s="792"/>
      <c r="D392" s="796"/>
      <c r="E392" s="792"/>
      <c r="F392" s="792"/>
      <c r="G392" s="874"/>
      <c r="H392" s="874"/>
      <c r="I392" s="879"/>
      <c r="J392" s="874"/>
      <c r="K392" s="794"/>
      <c r="L392" s="795"/>
      <c r="M392" s="795"/>
      <c r="N392" s="794"/>
    </row>
    <row r="393" spans="1:14" ht="18" customHeight="1" x14ac:dyDescent="0.25">
      <c r="A393" s="792"/>
      <c r="B393" s="793"/>
      <c r="C393" s="792"/>
      <c r="D393" s="796"/>
      <c r="E393" s="792"/>
      <c r="F393" s="792"/>
      <c r="G393" s="874"/>
      <c r="H393" s="874"/>
      <c r="I393" s="879"/>
      <c r="J393" s="874"/>
      <c r="K393" s="794"/>
      <c r="L393" s="795"/>
      <c r="M393" s="795"/>
      <c r="N393" s="794"/>
    </row>
    <row r="394" spans="1:14" ht="18" customHeight="1" x14ac:dyDescent="0.25">
      <c r="A394" s="792"/>
      <c r="B394" s="793"/>
      <c r="C394" s="792"/>
      <c r="D394" s="796"/>
      <c r="E394" s="792"/>
      <c r="F394" s="792"/>
      <c r="G394" s="874"/>
      <c r="H394" s="874"/>
      <c r="I394" s="879"/>
      <c r="J394" s="874"/>
      <c r="K394" s="794"/>
      <c r="L394" s="795"/>
      <c r="M394" s="795"/>
      <c r="N394" s="794"/>
    </row>
    <row r="395" spans="1:14" ht="18" customHeight="1" x14ac:dyDescent="0.25">
      <c r="A395" s="792"/>
      <c r="B395" s="793"/>
      <c r="C395" s="792"/>
      <c r="D395" s="796"/>
      <c r="E395" s="792"/>
      <c r="F395" s="792"/>
      <c r="G395" s="874"/>
      <c r="H395" s="874"/>
      <c r="I395" s="879"/>
      <c r="J395" s="874"/>
      <c r="K395" s="794"/>
      <c r="L395" s="795"/>
      <c r="M395" s="795"/>
      <c r="N395" s="794"/>
    </row>
    <row r="396" spans="1:14" ht="18" customHeight="1" x14ac:dyDescent="0.25">
      <c r="A396" s="792"/>
      <c r="B396" s="793"/>
      <c r="C396" s="792"/>
      <c r="D396" s="796"/>
      <c r="E396" s="792"/>
      <c r="F396" s="792"/>
      <c r="G396" s="874"/>
      <c r="H396" s="874"/>
      <c r="I396" s="879"/>
      <c r="J396" s="874"/>
      <c r="K396" s="794"/>
      <c r="L396" s="795"/>
      <c r="M396" s="795"/>
      <c r="N396" s="794"/>
    </row>
    <row r="397" spans="1:14" ht="18" customHeight="1" x14ac:dyDescent="0.25">
      <c r="A397" s="792"/>
      <c r="B397" s="793"/>
      <c r="C397" s="792"/>
      <c r="D397" s="796"/>
      <c r="E397" s="792"/>
      <c r="F397" s="792"/>
      <c r="G397" s="874"/>
      <c r="H397" s="874"/>
      <c r="I397" s="879"/>
      <c r="J397" s="874"/>
      <c r="K397" s="794"/>
      <c r="L397" s="795"/>
      <c r="M397" s="795"/>
      <c r="N397" s="794"/>
    </row>
    <row r="398" spans="1:14" ht="18" customHeight="1" x14ac:dyDescent="0.25">
      <c r="A398" s="792"/>
      <c r="B398" s="793"/>
      <c r="C398" s="792"/>
      <c r="D398" s="796"/>
      <c r="E398" s="792"/>
      <c r="F398" s="792"/>
      <c r="G398" s="874"/>
      <c r="H398" s="874"/>
      <c r="I398" s="879"/>
      <c r="J398" s="874"/>
      <c r="K398" s="794"/>
      <c r="L398" s="795"/>
      <c r="M398" s="795"/>
      <c r="N398" s="794"/>
    </row>
    <row r="399" spans="1:14" ht="18" customHeight="1" x14ac:dyDescent="0.25">
      <c r="A399" s="792"/>
      <c r="B399" s="793"/>
      <c r="C399" s="792"/>
      <c r="D399" s="796"/>
      <c r="E399" s="792"/>
      <c r="F399" s="792"/>
      <c r="G399" s="874"/>
      <c r="H399" s="874"/>
      <c r="I399" s="879"/>
      <c r="J399" s="874"/>
      <c r="K399" s="794"/>
      <c r="L399" s="795"/>
      <c r="M399" s="795"/>
      <c r="N399" s="794"/>
    </row>
    <row r="400" spans="1:14" ht="18" customHeight="1" x14ac:dyDescent="0.25">
      <c r="A400" s="792"/>
      <c r="B400" s="793"/>
      <c r="C400" s="792"/>
      <c r="D400" s="796"/>
      <c r="E400" s="792"/>
      <c r="F400" s="792"/>
      <c r="G400" s="874"/>
      <c r="H400" s="874"/>
      <c r="I400" s="879"/>
      <c r="J400" s="874"/>
      <c r="K400" s="794"/>
      <c r="L400" s="795"/>
      <c r="M400" s="795"/>
      <c r="N400" s="794"/>
    </row>
    <row r="401" spans="1:14" ht="18" customHeight="1" x14ac:dyDescent="0.25">
      <c r="A401" s="792"/>
      <c r="B401" s="793"/>
      <c r="C401" s="792"/>
      <c r="D401" s="796"/>
      <c r="E401" s="792"/>
      <c r="F401" s="792"/>
      <c r="G401" s="874"/>
      <c r="H401" s="874"/>
      <c r="I401" s="879"/>
      <c r="J401" s="874"/>
      <c r="K401" s="794"/>
      <c r="L401" s="795"/>
      <c r="M401" s="795"/>
      <c r="N401" s="794"/>
    </row>
    <row r="402" spans="1:14" ht="18" customHeight="1" x14ac:dyDescent="0.25">
      <c r="A402" s="792"/>
      <c r="B402" s="793"/>
      <c r="C402" s="792"/>
      <c r="D402" s="796"/>
      <c r="E402" s="792"/>
      <c r="F402" s="792"/>
      <c r="G402" s="874"/>
      <c r="H402" s="874"/>
      <c r="I402" s="879"/>
      <c r="J402" s="874"/>
      <c r="K402" s="794"/>
      <c r="L402" s="795"/>
      <c r="M402" s="795"/>
      <c r="N402" s="794"/>
    </row>
    <row r="403" spans="1:14" ht="18" customHeight="1" x14ac:dyDescent="0.25">
      <c r="A403" s="792"/>
      <c r="B403" s="793"/>
      <c r="C403" s="792"/>
      <c r="D403" s="796"/>
      <c r="E403" s="792"/>
      <c r="F403" s="792"/>
      <c r="G403" s="874"/>
      <c r="H403" s="874"/>
      <c r="I403" s="879"/>
      <c r="J403" s="874"/>
      <c r="K403" s="794"/>
      <c r="L403" s="795"/>
      <c r="M403" s="795"/>
      <c r="N403" s="794"/>
    </row>
    <row r="404" spans="1:14" ht="18" customHeight="1" x14ac:dyDescent="0.25">
      <c r="A404" s="792"/>
      <c r="B404" s="793"/>
      <c r="C404" s="792"/>
      <c r="D404" s="796"/>
      <c r="E404" s="792"/>
      <c r="F404" s="792"/>
      <c r="G404" s="874"/>
      <c r="H404" s="874"/>
      <c r="I404" s="879"/>
      <c r="J404" s="874"/>
      <c r="K404" s="794"/>
      <c r="L404" s="795"/>
      <c r="M404" s="795"/>
      <c r="N404" s="794"/>
    </row>
    <row r="405" spans="1:14" ht="18" customHeight="1" x14ac:dyDescent="0.25">
      <c r="A405" s="792"/>
      <c r="B405" s="793"/>
      <c r="C405" s="792"/>
      <c r="D405" s="796"/>
      <c r="E405" s="792"/>
      <c r="F405" s="792"/>
      <c r="G405" s="874"/>
      <c r="H405" s="874"/>
      <c r="I405" s="879"/>
      <c r="J405" s="874"/>
      <c r="K405" s="794"/>
      <c r="L405" s="795"/>
      <c r="M405" s="795"/>
      <c r="N405" s="794"/>
    </row>
    <row r="406" spans="1:14" ht="18" customHeight="1" x14ac:dyDescent="0.25">
      <c r="A406" s="792"/>
      <c r="B406" s="793"/>
      <c r="C406" s="792"/>
      <c r="D406" s="796"/>
      <c r="E406" s="792"/>
      <c r="F406" s="792"/>
      <c r="G406" s="874"/>
      <c r="H406" s="874"/>
      <c r="I406" s="879"/>
      <c r="J406" s="874"/>
      <c r="K406" s="794"/>
      <c r="L406" s="795"/>
      <c r="M406" s="795"/>
      <c r="N406" s="794"/>
    </row>
    <row r="407" spans="1:14" ht="18" customHeight="1" x14ac:dyDescent="0.25">
      <c r="A407" s="792"/>
      <c r="B407" s="793"/>
      <c r="C407" s="792"/>
      <c r="D407" s="796"/>
      <c r="E407" s="792"/>
      <c r="F407" s="792"/>
      <c r="G407" s="874"/>
      <c r="H407" s="874"/>
      <c r="I407" s="879"/>
      <c r="J407" s="874"/>
      <c r="K407" s="794"/>
      <c r="L407" s="795"/>
      <c r="M407" s="795"/>
      <c r="N407" s="794"/>
    </row>
    <row r="408" spans="1:14" ht="18" customHeight="1" x14ac:dyDescent="0.25">
      <c r="A408" s="792"/>
      <c r="B408" s="793"/>
      <c r="C408" s="792"/>
      <c r="D408" s="796"/>
      <c r="E408" s="792"/>
      <c r="F408" s="792"/>
      <c r="G408" s="874"/>
      <c r="H408" s="874"/>
      <c r="I408" s="879"/>
      <c r="J408" s="874"/>
      <c r="K408" s="794"/>
      <c r="L408" s="795"/>
      <c r="M408" s="795"/>
      <c r="N408" s="794"/>
    </row>
    <row r="409" spans="1:14" ht="18" customHeight="1" x14ac:dyDescent="0.25">
      <c r="A409" s="792"/>
      <c r="B409" s="793"/>
      <c r="C409" s="792"/>
      <c r="D409" s="796"/>
      <c r="E409" s="792"/>
      <c r="F409" s="792"/>
      <c r="G409" s="874"/>
      <c r="H409" s="874"/>
      <c r="I409" s="879"/>
      <c r="J409" s="874"/>
      <c r="K409" s="794"/>
      <c r="L409" s="795"/>
      <c r="M409" s="795"/>
      <c r="N409" s="794"/>
    </row>
    <row r="410" spans="1:14" ht="18" customHeight="1" x14ac:dyDescent="0.25">
      <c r="A410" s="792"/>
      <c r="B410" s="793"/>
      <c r="C410" s="792"/>
      <c r="D410" s="796"/>
      <c r="E410" s="792"/>
      <c r="F410" s="792"/>
      <c r="G410" s="874"/>
      <c r="H410" s="874"/>
      <c r="I410" s="879"/>
      <c r="J410" s="874"/>
      <c r="K410" s="794"/>
      <c r="L410" s="795"/>
      <c r="M410" s="795"/>
      <c r="N410" s="794"/>
    </row>
    <row r="411" spans="1:14" ht="18" customHeight="1" x14ac:dyDescent="0.25">
      <c r="A411" s="792"/>
      <c r="B411" s="793"/>
      <c r="C411" s="792"/>
      <c r="D411" s="796"/>
      <c r="E411" s="792"/>
      <c r="F411" s="792"/>
      <c r="G411" s="874"/>
      <c r="H411" s="874"/>
      <c r="I411" s="879"/>
      <c r="J411" s="874"/>
      <c r="K411" s="794"/>
      <c r="L411" s="795"/>
      <c r="M411" s="795"/>
      <c r="N411" s="794"/>
    </row>
    <row r="412" spans="1:14" ht="18" customHeight="1" x14ac:dyDescent="0.25">
      <c r="A412" s="792"/>
      <c r="B412" s="793"/>
      <c r="C412" s="792"/>
      <c r="D412" s="796"/>
      <c r="E412" s="792"/>
      <c r="F412" s="792"/>
      <c r="G412" s="874"/>
      <c r="H412" s="874"/>
      <c r="I412" s="879"/>
      <c r="J412" s="874"/>
      <c r="K412" s="794"/>
      <c r="L412" s="795"/>
      <c r="M412" s="795"/>
      <c r="N412" s="794"/>
    </row>
    <row r="413" spans="1:14" ht="18" customHeight="1" x14ac:dyDescent="0.25">
      <c r="A413" s="792"/>
      <c r="B413" s="793"/>
      <c r="C413" s="792"/>
      <c r="D413" s="796"/>
      <c r="E413" s="792"/>
      <c r="F413" s="792"/>
      <c r="G413" s="874"/>
      <c r="H413" s="874"/>
      <c r="I413" s="879"/>
      <c r="J413" s="874"/>
      <c r="K413" s="794"/>
      <c r="L413" s="795"/>
      <c r="M413" s="795"/>
      <c r="N413" s="794"/>
    </row>
    <row r="414" spans="1:14" ht="18" customHeight="1" x14ac:dyDescent="0.25">
      <c r="A414" s="792"/>
      <c r="B414" s="793"/>
      <c r="C414" s="792"/>
      <c r="D414" s="796"/>
      <c r="E414" s="792"/>
      <c r="F414" s="792"/>
      <c r="G414" s="874"/>
      <c r="H414" s="874"/>
      <c r="I414" s="879"/>
      <c r="J414" s="874"/>
      <c r="K414" s="794"/>
      <c r="L414" s="795"/>
      <c r="M414" s="795"/>
      <c r="N414" s="794"/>
    </row>
    <row r="415" spans="1:14" ht="18" customHeight="1" x14ac:dyDescent="0.25">
      <c r="A415" s="792"/>
      <c r="B415" s="793"/>
      <c r="C415" s="792"/>
      <c r="D415" s="796"/>
      <c r="E415" s="792"/>
      <c r="F415" s="792"/>
      <c r="G415" s="874"/>
      <c r="H415" s="874"/>
      <c r="I415" s="879"/>
      <c r="J415" s="874"/>
      <c r="K415" s="794"/>
      <c r="L415" s="795"/>
      <c r="M415" s="795"/>
      <c r="N415" s="794"/>
    </row>
    <row r="416" spans="1:14" ht="18" customHeight="1" x14ac:dyDescent="0.25">
      <c r="A416" s="792"/>
      <c r="B416" s="793"/>
      <c r="C416" s="792"/>
      <c r="D416" s="796"/>
      <c r="E416" s="792"/>
      <c r="F416" s="792"/>
      <c r="G416" s="874"/>
      <c r="H416" s="874"/>
      <c r="I416" s="879"/>
      <c r="J416" s="874"/>
      <c r="K416" s="794"/>
      <c r="L416" s="795"/>
      <c r="M416" s="795"/>
      <c r="N416" s="794"/>
    </row>
    <row r="417" spans="1:14" ht="18" customHeight="1" x14ac:dyDescent="0.25">
      <c r="A417" s="792"/>
      <c r="B417" s="793"/>
      <c r="C417" s="792"/>
      <c r="D417" s="796"/>
      <c r="E417" s="792"/>
      <c r="F417" s="792"/>
      <c r="G417" s="874"/>
      <c r="H417" s="874"/>
      <c r="I417" s="879"/>
      <c r="J417" s="874"/>
      <c r="K417" s="794"/>
      <c r="L417" s="795"/>
      <c r="M417" s="795"/>
      <c r="N417" s="794"/>
    </row>
    <row r="418" spans="1:14" ht="18" customHeight="1" x14ac:dyDescent="0.25">
      <c r="A418" s="792"/>
      <c r="B418" s="793"/>
      <c r="C418" s="792"/>
      <c r="D418" s="796"/>
      <c r="E418" s="792"/>
      <c r="F418" s="792"/>
      <c r="G418" s="874"/>
      <c r="H418" s="874"/>
      <c r="I418" s="879"/>
      <c r="J418" s="874"/>
      <c r="K418" s="794"/>
      <c r="L418" s="795"/>
      <c r="M418" s="795"/>
      <c r="N418" s="794"/>
    </row>
    <row r="419" spans="1:14" ht="18" customHeight="1" x14ac:dyDescent="0.25">
      <c r="A419" s="792"/>
      <c r="B419" s="793"/>
      <c r="C419" s="792"/>
      <c r="D419" s="796"/>
      <c r="E419" s="792"/>
      <c r="F419" s="792"/>
      <c r="G419" s="874"/>
      <c r="H419" s="874"/>
      <c r="I419" s="879"/>
      <c r="J419" s="874"/>
      <c r="K419" s="794"/>
      <c r="L419" s="795"/>
      <c r="M419" s="795"/>
      <c r="N419" s="794"/>
    </row>
    <row r="420" spans="1:14" ht="18" customHeight="1" x14ac:dyDescent="0.25">
      <c r="A420" s="792"/>
      <c r="B420" s="793"/>
      <c r="C420" s="792"/>
      <c r="D420" s="796"/>
      <c r="E420" s="792"/>
      <c r="F420" s="792"/>
      <c r="G420" s="874"/>
      <c r="H420" s="874"/>
      <c r="I420" s="879"/>
      <c r="J420" s="874"/>
      <c r="K420" s="794"/>
      <c r="L420" s="795"/>
      <c r="M420" s="795"/>
      <c r="N420" s="794"/>
    </row>
    <row r="421" spans="1:14" ht="18" customHeight="1" x14ac:dyDescent="0.25">
      <c r="A421" s="792"/>
      <c r="B421" s="793"/>
      <c r="C421" s="792"/>
      <c r="D421" s="796"/>
      <c r="E421" s="792"/>
      <c r="F421" s="792"/>
      <c r="G421" s="874"/>
      <c r="H421" s="874"/>
      <c r="I421" s="879"/>
      <c r="J421" s="874"/>
      <c r="K421" s="794"/>
      <c r="L421" s="795"/>
      <c r="M421" s="795"/>
      <c r="N421" s="794"/>
    </row>
    <row r="422" spans="1:14" ht="18" customHeight="1" x14ac:dyDescent="0.25">
      <c r="A422" s="792"/>
      <c r="B422" s="793"/>
      <c r="C422" s="792"/>
      <c r="D422" s="796"/>
      <c r="E422" s="792"/>
      <c r="F422" s="792"/>
      <c r="G422" s="874"/>
      <c r="H422" s="874"/>
      <c r="I422" s="879"/>
      <c r="J422" s="874"/>
      <c r="K422" s="794"/>
      <c r="L422" s="795"/>
      <c r="M422" s="795"/>
      <c r="N422" s="794"/>
    </row>
    <row r="423" spans="1:14" ht="18" customHeight="1" x14ac:dyDescent="0.25">
      <c r="A423" s="792"/>
      <c r="B423" s="793"/>
      <c r="C423" s="792"/>
      <c r="D423" s="796"/>
      <c r="E423" s="792"/>
      <c r="F423" s="792"/>
      <c r="G423" s="874"/>
      <c r="H423" s="874"/>
      <c r="I423" s="879"/>
      <c r="J423" s="874"/>
      <c r="K423" s="794"/>
      <c r="L423" s="795"/>
      <c r="M423" s="795"/>
      <c r="N423" s="794"/>
    </row>
    <row r="424" spans="1:14" ht="18" customHeight="1" x14ac:dyDescent="0.25">
      <c r="A424" s="792"/>
      <c r="B424" s="793"/>
      <c r="C424" s="792"/>
      <c r="D424" s="796"/>
      <c r="E424" s="792"/>
      <c r="F424" s="792"/>
      <c r="G424" s="874"/>
      <c r="H424" s="874"/>
      <c r="I424" s="879"/>
      <c r="J424" s="874"/>
      <c r="K424" s="794"/>
      <c r="L424" s="795"/>
      <c r="M424" s="795"/>
      <c r="N424" s="794"/>
    </row>
    <row r="425" spans="1:14" ht="18" customHeight="1" x14ac:dyDescent="0.25">
      <c r="A425" s="792"/>
      <c r="B425" s="793"/>
      <c r="C425" s="792"/>
      <c r="D425" s="796"/>
      <c r="E425" s="792"/>
      <c r="F425" s="792"/>
      <c r="G425" s="874"/>
      <c r="H425" s="874"/>
      <c r="I425" s="879"/>
      <c r="J425" s="874"/>
      <c r="K425" s="794"/>
      <c r="L425" s="795"/>
      <c r="M425" s="795"/>
      <c r="N425" s="794"/>
    </row>
    <row r="426" spans="1:14" ht="18" customHeight="1" x14ac:dyDescent="0.25">
      <c r="A426" s="792"/>
      <c r="B426" s="793"/>
      <c r="C426" s="792"/>
      <c r="D426" s="796"/>
      <c r="E426" s="792"/>
      <c r="F426" s="792"/>
      <c r="G426" s="874"/>
      <c r="H426" s="874"/>
      <c r="I426" s="879"/>
      <c r="J426" s="874"/>
      <c r="K426" s="794"/>
      <c r="L426" s="795"/>
      <c r="M426" s="795"/>
      <c r="N426" s="794"/>
    </row>
    <row r="427" spans="1:14" ht="18" customHeight="1" x14ac:dyDescent="0.25">
      <c r="A427" s="792"/>
      <c r="B427" s="793"/>
      <c r="C427" s="792"/>
      <c r="D427" s="796"/>
      <c r="E427" s="792"/>
      <c r="F427" s="792"/>
      <c r="G427" s="874"/>
      <c r="H427" s="874"/>
      <c r="I427" s="879"/>
      <c r="J427" s="874"/>
      <c r="K427" s="794"/>
      <c r="L427" s="795"/>
      <c r="M427" s="795"/>
      <c r="N427" s="794"/>
    </row>
    <row r="428" spans="1:14" ht="18" customHeight="1" x14ac:dyDescent="0.25">
      <c r="A428" s="792"/>
      <c r="B428" s="793"/>
      <c r="C428" s="792"/>
      <c r="D428" s="796"/>
      <c r="E428" s="792"/>
      <c r="F428" s="792"/>
      <c r="G428" s="874"/>
      <c r="H428" s="874"/>
      <c r="I428" s="879"/>
      <c r="J428" s="874"/>
      <c r="K428" s="794"/>
      <c r="L428" s="795"/>
      <c r="M428" s="795"/>
      <c r="N428" s="794"/>
    </row>
    <row r="429" spans="1:14" ht="18" customHeight="1" x14ac:dyDescent="0.25">
      <c r="A429" s="792"/>
      <c r="B429" s="793"/>
      <c r="C429" s="792"/>
      <c r="D429" s="796"/>
      <c r="E429" s="792"/>
      <c r="F429" s="792"/>
      <c r="G429" s="874"/>
      <c r="H429" s="874"/>
      <c r="I429" s="879"/>
      <c r="J429" s="874"/>
      <c r="K429" s="794"/>
      <c r="L429" s="795"/>
      <c r="M429" s="795"/>
      <c r="N429" s="794"/>
    </row>
    <row r="430" spans="1:14" ht="18" customHeight="1" x14ac:dyDescent="0.25">
      <c r="A430" s="792"/>
      <c r="B430" s="793"/>
      <c r="C430" s="792"/>
      <c r="D430" s="796"/>
      <c r="E430" s="792"/>
      <c r="F430" s="792"/>
      <c r="G430" s="874"/>
      <c r="H430" s="874"/>
      <c r="I430" s="879"/>
      <c r="J430" s="874"/>
      <c r="K430" s="794"/>
      <c r="L430" s="795"/>
      <c r="M430" s="795"/>
      <c r="N430" s="794"/>
    </row>
    <row r="431" spans="1:14" s="1320" customFormat="1" ht="20.100000000000001" customHeight="1" x14ac:dyDescent="0.35">
      <c r="A431" s="1065" t="s">
        <v>1016</v>
      </c>
      <c r="B431" s="1065"/>
      <c r="C431" s="1065"/>
      <c r="D431" s="1065"/>
      <c r="E431" s="1065"/>
      <c r="F431" s="1065"/>
      <c r="G431" s="1065"/>
      <c r="H431" s="1065"/>
      <c r="I431" s="1065"/>
      <c r="J431" s="1065"/>
      <c r="K431" s="1065"/>
      <c r="L431" s="1065"/>
      <c r="M431" s="1065"/>
      <c r="N431" s="1065"/>
    </row>
    <row r="432" spans="1:14" ht="18" customHeight="1" x14ac:dyDescent="0.25">
      <c r="A432" s="792"/>
      <c r="B432" s="793"/>
      <c r="C432" s="792"/>
      <c r="D432" s="796"/>
      <c r="E432" s="792"/>
      <c r="F432" s="792"/>
      <c r="G432" s="874"/>
      <c r="H432" s="874"/>
      <c r="I432" s="879"/>
      <c r="J432" s="874"/>
      <c r="K432" s="794"/>
      <c r="L432" s="795"/>
      <c r="M432" s="795"/>
      <c r="N432" s="794"/>
    </row>
    <row r="433" spans="1:14" ht="18" customHeight="1" x14ac:dyDescent="0.25">
      <c r="A433" s="792"/>
      <c r="B433" s="793"/>
      <c r="C433" s="792"/>
      <c r="D433" s="796"/>
      <c r="E433" s="792"/>
      <c r="F433" s="792"/>
      <c r="G433" s="874"/>
      <c r="H433" s="874"/>
      <c r="I433" s="879"/>
      <c r="J433" s="874"/>
      <c r="K433" s="794"/>
      <c r="L433" s="795"/>
      <c r="M433" s="795"/>
      <c r="N433" s="794"/>
    </row>
    <row r="434" spans="1:14" ht="18" customHeight="1" x14ac:dyDescent="0.25">
      <c r="A434" s="792"/>
      <c r="B434" s="793"/>
      <c r="C434" s="792"/>
      <c r="D434" s="796"/>
      <c r="E434" s="792"/>
      <c r="F434" s="792"/>
      <c r="G434" s="874"/>
      <c r="H434" s="874"/>
      <c r="I434" s="879"/>
      <c r="J434" s="874"/>
      <c r="K434" s="794"/>
      <c r="L434" s="795"/>
      <c r="M434" s="795"/>
      <c r="N434" s="794"/>
    </row>
    <row r="435" spans="1:14" ht="18" customHeight="1" x14ac:dyDescent="0.25">
      <c r="A435" s="792"/>
      <c r="B435" s="793"/>
      <c r="C435" s="792"/>
      <c r="D435" s="796"/>
      <c r="E435" s="792"/>
      <c r="F435" s="792"/>
      <c r="G435" s="874"/>
      <c r="H435" s="874"/>
      <c r="I435" s="879"/>
      <c r="J435" s="874"/>
      <c r="K435" s="794"/>
      <c r="L435" s="795"/>
      <c r="M435" s="795"/>
      <c r="N435" s="794"/>
    </row>
    <row r="436" spans="1:14" ht="18" customHeight="1" x14ac:dyDescent="0.25">
      <c r="A436" s="792"/>
      <c r="B436" s="793"/>
      <c r="C436" s="792"/>
      <c r="D436" s="796"/>
      <c r="E436" s="792"/>
      <c r="F436" s="792"/>
      <c r="G436" s="874"/>
      <c r="H436" s="874"/>
      <c r="I436" s="879"/>
      <c r="J436" s="874"/>
      <c r="K436" s="794"/>
      <c r="L436" s="795"/>
      <c r="M436" s="795"/>
      <c r="N436" s="794"/>
    </row>
    <row r="437" spans="1:14" ht="18" hidden="1" customHeight="1" x14ac:dyDescent="0.2"/>
    <row r="438" spans="1:14" ht="18" hidden="1" customHeight="1" x14ac:dyDescent="0.2">
      <c r="J438" s="883">
        <f>J439-J440</f>
        <v>0</v>
      </c>
      <c r="K438" s="883">
        <f t="shared" ref="K438:N438" si="10">K439-K440</f>
        <v>0</v>
      </c>
      <c r="L438" s="883">
        <f t="shared" si="10"/>
        <v>0</v>
      </c>
      <c r="M438" s="883">
        <f t="shared" si="10"/>
        <v>0</v>
      </c>
      <c r="N438" s="883">
        <f t="shared" si="10"/>
        <v>0</v>
      </c>
    </row>
    <row r="439" spans="1:14" ht="18" hidden="1" customHeight="1" x14ac:dyDescent="0.2">
      <c r="J439" s="817">
        <f>'LBP NO. 2a'!G206</f>
        <v>145366136.60999998</v>
      </c>
      <c r="K439" s="817">
        <f>'LBP NO. 2a'!H206</f>
        <v>67622960.769999996</v>
      </c>
      <c r="L439" s="817">
        <f>'LBP NO. 2a'!I206</f>
        <v>123938310.43000001</v>
      </c>
      <c r="M439" s="817">
        <f>'LBP NO. 2a'!J206</f>
        <v>191561271.19999996</v>
      </c>
      <c r="N439" s="817">
        <f>'LBP NO. 2a'!K206</f>
        <v>185905498</v>
      </c>
    </row>
    <row r="440" spans="1:14" s="1322" customFormat="1" ht="18" hidden="1" customHeight="1" x14ac:dyDescent="0.25">
      <c r="A440" s="802"/>
      <c r="B440" s="802"/>
      <c r="C440" s="802"/>
      <c r="D440" s="802"/>
      <c r="E440" s="802"/>
      <c r="F440" s="802"/>
      <c r="G440" s="801"/>
      <c r="H440" s="802"/>
      <c r="I440" s="803"/>
      <c r="J440" s="785">
        <f>J345+J140</f>
        <v>145366136.61000001</v>
      </c>
      <c r="K440" s="785">
        <f>K345+K140</f>
        <v>67622960.769999996</v>
      </c>
      <c r="L440" s="786">
        <f>L345+L140</f>
        <v>123938310.43000001</v>
      </c>
      <c r="M440" s="785">
        <f>M345+M140</f>
        <v>191561271.19999999</v>
      </c>
      <c r="N440" s="785">
        <f>N345+N140</f>
        <v>185905498</v>
      </c>
    </row>
    <row r="441" spans="1:14" ht="18" hidden="1" customHeight="1" x14ac:dyDescent="0.2"/>
    <row r="442" spans="1:14" ht="18" hidden="1" customHeight="1" x14ac:dyDescent="0.2">
      <c r="J442" s="802">
        <v>145366136.61000001</v>
      </c>
      <c r="K442" s="802">
        <v>67622960.769999996</v>
      </c>
      <c r="L442" s="802">
        <v>123938310.43000001</v>
      </c>
      <c r="M442" s="802">
        <v>191561271.19999999</v>
      </c>
      <c r="N442" s="802">
        <v>185154952</v>
      </c>
    </row>
    <row r="443" spans="1:14" ht="18" hidden="1" customHeight="1" x14ac:dyDescent="0.2">
      <c r="J443" s="817">
        <f>J442-J440</f>
        <v>0</v>
      </c>
      <c r="K443" s="817">
        <f>K442-K440</f>
        <v>0</v>
      </c>
      <c r="L443" s="817">
        <f>L442-L440</f>
        <v>0</v>
      </c>
      <c r="M443" s="817">
        <f t="shared" ref="M443" si="11">M442-M440</f>
        <v>0</v>
      </c>
      <c r="N443" s="817">
        <f>N442-N440</f>
        <v>-750546</v>
      </c>
    </row>
    <row r="444" spans="1:14" hidden="1" x14ac:dyDescent="0.2"/>
    <row r="445" spans="1:14" hidden="1" x14ac:dyDescent="0.2"/>
    <row r="446" spans="1:14" hidden="1" x14ac:dyDescent="0.2"/>
  </sheetData>
  <sheetProtection password="C1B6" sheet="1" objects="1" scenarios="1"/>
  <mergeCells count="42">
    <mergeCell ref="A2:N2"/>
    <mergeCell ref="A3:N3"/>
    <mergeCell ref="A5:N5"/>
    <mergeCell ref="A220:N220"/>
    <mergeCell ref="A7:F7"/>
    <mergeCell ref="A10:F10"/>
    <mergeCell ref="K6:M6"/>
    <mergeCell ref="H171:J171"/>
    <mergeCell ref="H170:J170"/>
    <mergeCell ref="A217:N217"/>
    <mergeCell ref="M171:N171"/>
    <mergeCell ref="A165:N165"/>
    <mergeCell ref="A218:N218"/>
    <mergeCell ref="M170:N170"/>
    <mergeCell ref="A73:N73"/>
    <mergeCell ref="A74:N74"/>
    <mergeCell ref="A431:N431"/>
    <mergeCell ref="M377:N377"/>
    <mergeCell ref="M378:N378"/>
    <mergeCell ref="H377:J377"/>
    <mergeCell ref="H378:J378"/>
    <mergeCell ref="A372:N373"/>
    <mergeCell ref="A71:N71"/>
    <mergeCell ref="A145:N145"/>
    <mergeCell ref="A215:N215"/>
    <mergeCell ref="A76:N76"/>
    <mergeCell ref="K77:M77"/>
    <mergeCell ref="A78:F78"/>
    <mergeCell ref="A81:F81"/>
    <mergeCell ref="A222:F222"/>
    <mergeCell ref="K221:M221"/>
    <mergeCell ref="A288:N288"/>
    <mergeCell ref="A289:N289"/>
    <mergeCell ref="A291:N291"/>
    <mergeCell ref="K292:M292"/>
    <mergeCell ref="A293:F293"/>
    <mergeCell ref="K293:M293"/>
    <mergeCell ref="A286:N286"/>
    <mergeCell ref="A361:N361"/>
    <mergeCell ref="K7:M7"/>
    <mergeCell ref="K78:M78"/>
    <mergeCell ref="K222:M222"/>
  </mergeCells>
  <phoneticPr fontId="7" type="noConversion"/>
  <printOptions horizontalCentered="1"/>
  <pageMargins left="0.5" right="0" top="0.25" bottom="0.25" header="0.5" footer="0"/>
  <pageSetup paperSize="256" scale="70" orientation="portrait" r:id="rId1"/>
  <headerFooter alignWithMargins="0">
    <oddFooter xml:space="preserve">&amp;C&amp;"Times New Roman,Bold"&amp;14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6"/>
  <sheetViews>
    <sheetView topLeftCell="A277" workbookViewId="0">
      <selection activeCell="K286" sqref="K286"/>
    </sheetView>
  </sheetViews>
  <sheetFormatPr defaultRowHeight="12.75" x14ac:dyDescent="0.2"/>
  <cols>
    <col min="1" max="1" width="3.7109375" customWidth="1"/>
    <col min="2" max="2" width="4.42578125" customWidth="1"/>
    <col min="3" max="3" width="4.28515625" customWidth="1"/>
    <col min="4" max="4" width="18.42578125" customWidth="1"/>
    <col min="8" max="8" width="8.85546875" customWidth="1"/>
    <col min="9" max="9" width="15" bestFit="1" customWidth="1"/>
    <col min="10" max="10" width="14.5703125" customWidth="1"/>
    <col min="11" max="11" width="14" bestFit="1" customWidth="1"/>
    <col min="12" max="12" width="11.28515625" bestFit="1" customWidth="1"/>
  </cols>
  <sheetData>
    <row r="1" spans="1:10" ht="15" customHeight="1" x14ac:dyDescent="0.2">
      <c r="A1" s="1260" t="s">
        <v>896</v>
      </c>
      <c r="B1" s="1260"/>
      <c r="C1" s="1260"/>
      <c r="D1" s="1260"/>
      <c r="E1" s="1260"/>
      <c r="F1" s="1260"/>
      <c r="G1" s="1260"/>
      <c r="H1" s="1260"/>
      <c r="I1" s="1260"/>
      <c r="J1" s="1260"/>
    </row>
    <row r="2" spans="1:10" ht="15" customHeight="1" x14ac:dyDescent="0.2">
      <c r="A2" s="1260" t="s">
        <v>182</v>
      </c>
      <c r="B2" s="1260"/>
      <c r="C2" s="1260"/>
      <c r="D2" s="1260"/>
      <c r="E2" s="1260"/>
      <c r="F2" s="1260"/>
      <c r="G2" s="1260"/>
      <c r="H2" s="1260"/>
      <c r="I2" s="1260"/>
      <c r="J2" s="1260"/>
    </row>
    <row r="3" spans="1:10" ht="15" customHeight="1" x14ac:dyDescent="0.2">
      <c r="A3" s="1260" t="s">
        <v>183</v>
      </c>
      <c r="B3" s="1260"/>
      <c r="C3" s="1260"/>
      <c r="D3" s="1260"/>
      <c r="E3" s="1260"/>
      <c r="F3" s="1260"/>
      <c r="G3" s="1260"/>
      <c r="H3" s="1260"/>
      <c r="I3" s="1260"/>
      <c r="J3" s="1260"/>
    </row>
    <row r="4" spans="1:10" ht="15" customHeight="1" x14ac:dyDescent="0.2">
      <c r="A4" s="6"/>
      <c r="B4" s="6"/>
      <c r="C4" s="6"/>
      <c r="D4" s="6"/>
      <c r="E4" s="6"/>
      <c r="F4" s="6"/>
      <c r="G4" s="6"/>
      <c r="H4" s="6"/>
      <c r="I4" s="6"/>
      <c r="J4" s="6"/>
    </row>
    <row r="5" spans="1:10" ht="15" customHeight="1" x14ac:dyDescent="0.2">
      <c r="A5" s="6"/>
      <c r="B5" s="6"/>
      <c r="C5" s="6"/>
      <c r="D5" s="6"/>
      <c r="E5" s="6"/>
      <c r="F5" s="6"/>
      <c r="G5" s="6"/>
      <c r="H5" s="6"/>
      <c r="I5" s="6"/>
      <c r="J5" s="6"/>
    </row>
    <row r="6" spans="1:10" ht="15" customHeight="1" x14ac:dyDescent="0.2">
      <c r="A6" s="6"/>
      <c r="B6" s="6"/>
      <c r="C6" s="6"/>
      <c r="D6" s="6"/>
      <c r="E6" s="6"/>
      <c r="F6" s="6"/>
      <c r="G6" s="6"/>
      <c r="H6" s="6"/>
      <c r="I6" s="6"/>
      <c r="J6" s="6"/>
    </row>
    <row r="7" spans="1:10" ht="23.25" x14ac:dyDescent="0.35">
      <c r="A7" s="1311" t="s">
        <v>1653</v>
      </c>
      <c r="B7" s="1311"/>
      <c r="C7" s="1311"/>
      <c r="D7" s="1311"/>
      <c r="E7" s="1311"/>
      <c r="F7" s="1311"/>
      <c r="G7" s="1311"/>
      <c r="H7" s="1311"/>
      <c r="I7" s="1311"/>
      <c r="J7" s="1311"/>
    </row>
    <row r="8" spans="1:10" ht="7.5" customHeight="1" x14ac:dyDescent="0.2">
      <c r="A8" s="6"/>
      <c r="B8" s="6"/>
      <c r="C8" s="6"/>
      <c r="D8" s="6"/>
      <c r="E8" s="6"/>
      <c r="F8" s="6"/>
      <c r="G8" s="6"/>
      <c r="H8" s="6"/>
      <c r="I8" s="6"/>
      <c r="J8" s="6"/>
    </row>
    <row r="9" spans="1:10" ht="7.5" customHeight="1" x14ac:dyDescent="0.2">
      <c r="A9" s="6"/>
      <c r="B9" s="6"/>
      <c r="C9" s="6"/>
      <c r="D9" s="6"/>
      <c r="E9" s="6"/>
      <c r="F9" s="6"/>
      <c r="G9" s="6"/>
      <c r="H9" s="6"/>
      <c r="I9" s="6"/>
      <c r="J9" s="6"/>
    </row>
    <row r="10" spans="1:10" x14ac:dyDescent="0.2">
      <c r="A10" s="15" t="s">
        <v>292</v>
      </c>
      <c r="B10" s="15"/>
      <c r="C10" s="15"/>
      <c r="D10" s="7"/>
      <c r="E10" s="6"/>
      <c r="F10" s="6"/>
      <c r="G10" s="6"/>
      <c r="H10" s="6"/>
      <c r="I10" s="6"/>
      <c r="J10" s="6"/>
    </row>
    <row r="11" spans="1:10" x14ac:dyDescent="0.2">
      <c r="A11" s="8"/>
      <c r="B11" s="2" t="s">
        <v>293</v>
      </c>
      <c r="C11" s="9" t="s">
        <v>188</v>
      </c>
      <c r="D11" s="9"/>
      <c r="E11" s="6"/>
      <c r="F11" s="6"/>
      <c r="G11" s="6"/>
      <c r="H11" s="6"/>
      <c r="I11" s="6"/>
      <c r="J11" s="6"/>
    </row>
    <row r="12" spans="1:10" x14ac:dyDescent="0.2">
      <c r="A12" s="6"/>
      <c r="B12" s="6" t="s">
        <v>294</v>
      </c>
      <c r="C12" s="6"/>
      <c r="D12" s="6"/>
      <c r="E12" s="6"/>
      <c r="F12" s="6"/>
      <c r="G12" s="6"/>
      <c r="H12" s="6"/>
      <c r="I12" s="10">
        <f>'LBP NO. 1'!N29</f>
        <v>5295000</v>
      </c>
      <c r="J12" s="6"/>
    </row>
    <row r="13" spans="1:10" x14ac:dyDescent="0.2">
      <c r="A13" s="6"/>
      <c r="B13" s="6" t="s">
        <v>297</v>
      </c>
      <c r="C13" s="6"/>
      <c r="D13" s="6"/>
      <c r="E13" s="6"/>
      <c r="F13" s="6"/>
      <c r="G13" s="6"/>
      <c r="H13" s="6"/>
      <c r="I13" s="10">
        <f>'LBP NO. 1'!N60</f>
        <v>3817000</v>
      </c>
      <c r="J13" s="6"/>
    </row>
    <row r="14" spans="1:10" x14ac:dyDescent="0.2">
      <c r="A14" s="6"/>
      <c r="B14" s="6" t="s">
        <v>295</v>
      </c>
      <c r="C14" s="6"/>
      <c r="D14" s="6"/>
      <c r="E14" s="6"/>
      <c r="F14" s="6"/>
      <c r="G14" s="6"/>
      <c r="H14" s="6"/>
      <c r="I14" s="11">
        <f>'LBP NO. 1'!N63</f>
        <v>165000000</v>
      </c>
      <c r="J14" s="6"/>
    </row>
    <row r="15" spans="1:10" ht="13.5" thickBot="1" x14ac:dyDescent="0.25">
      <c r="A15" s="6"/>
      <c r="B15" s="6" t="s">
        <v>296</v>
      </c>
      <c r="C15" s="6"/>
      <c r="D15" s="7"/>
      <c r="E15" s="6"/>
      <c r="F15" s="6"/>
      <c r="G15" s="6"/>
      <c r="H15" s="6"/>
      <c r="I15" s="12">
        <f>SUM(I12:I14)</f>
        <v>174112000</v>
      </c>
      <c r="J15" s="6"/>
    </row>
    <row r="16" spans="1:10" x14ac:dyDescent="0.2">
      <c r="A16" s="6"/>
      <c r="B16" s="6"/>
      <c r="C16" s="6"/>
      <c r="D16" s="7"/>
      <c r="E16" s="6"/>
      <c r="F16" s="6"/>
      <c r="G16" s="6"/>
      <c r="H16" s="6"/>
      <c r="I16" s="17"/>
      <c r="J16" s="6"/>
    </row>
    <row r="17" spans="1:10" x14ac:dyDescent="0.2">
      <c r="A17" s="6"/>
      <c r="B17" s="6"/>
      <c r="C17" s="6"/>
      <c r="D17" s="7"/>
      <c r="E17" s="6"/>
      <c r="F17" s="6"/>
      <c r="G17" s="6"/>
      <c r="H17" s="6"/>
      <c r="I17" s="17"/>
      <c r="J17" s="6"/>
    </row>
    <row r="18" spans="1:10" x14ac:dyDescent="0.2">
      <c r="A18" s="8"/>
      <c r="B18" s="8" t="s">
        <v>193</v>
      </c>
      <c r="C18" s="9"/>
      <c r="D18" s="9"/>
      <c r="E18" s="6"/>
      <c r="F18" s="6"/>
      <c r="G18" s="6"/>
      <c r="H18" s="6"/>
      <c r="I18" s="10"/>
      <c r="J18" s="6"/>
    </row>
    <row r="19" spans="1:10" x14ac:dyDescent="0.2">
      <c r="A19" s="8"/>
      <c r="B19" s="6" t="s">
        <v>294</v>
      </c>
      <c r="C19" s="8"/>
      <c r="D19" s="9"/>
      <c r="E19" s="6"/>
      <c r="F19" s="6"/>
      <c r="G19" s="6"/>
      <c r="H19" s="6"/>
      <c r="I19" s="10">
        <f>'LBP NO. 1'!N233</f>
        <v>3400000</v>
      </c>
      <c r="J19" s="6"/>
    </row>
    <row r="20" spans="1:10" x14ac:dyDescent="0.2">
      <c r="A20" s="8"/>
      <c r="B20" s="6" t="s">
        <v>297</v>
      </c>
      <c r="C20" s="8"/>
      <c r="D20" s="9"/>
      <c r="E20" s="6"/>
      <c r="F20" s="6"/>
      <c r="G20" s="6"/>
      <c r="H20" s="6"/>
      <c r="I20" s="11">
        <f>'LBP NO. 1'!N249</f>
        <v>8693000</v>
      </c>
      <c r="J20" s="6"/>
    </row>
    <row r="21" spans="1:10" ht="13.5" thickBot="1" x14ac:dyDescent="0.25">
      <c r="A21" s="8"/>
      <c r="B21" s="8" t="s">
        <v>296</v>
      </c>
      <c r="C21" s="9"/>
      <c r="D21" s="7"/>
      <c r="E21" s="6"/>
      <c r="F21" s="6"/>
      <c r="G21" s="6"/>
      <c r="H21" s="6"/>
      <c r="I21" s="13">
        <f>SUM(I19:I20)</f>
        <v>12093000</v>
      </c>
      <c r="J21" s="6"/>
    </row>
    <row r="22" spans="1:10" x14ac:dyDescent="0.2">
      <c r="A22" s="8"/>
      <c r="B22" s="8"/>
      <c r="C22" s="9"/>
      <c r="D22" s="7"/>
      <c r="E22" s="6"/>
      <c r="F22" s="6"/>
      <c r="G22" s="6"/>
      <c r="H22" s="6"/>
      <c r="I22" s="30"/>
      <c r="J22" s="6"/>
    </row>
    <row r="23" spans="1:10" ht="13.5" thickBot="1" x14ac:dyDescent="0.25">
      <c r="A23" s="8"/>
      <c r="B23" s="8"/>
      <c r="C23" s="9"/>
      <c r="D23" s="7" t="s">
        <v>43</v>
      </c>
      <c r="E23" s="6"/>
      <c r="F23" s="6"/>
      <c r="G23" s="6"/>
      <c r="H23" s="6"/>
      <c r="I23" s="31">
        <f>+I15+I21</f>
        <v>186205000</v>
      </c>
      <c r="J23" s="6"/>
    </row>
    <row r="24" spans="1:10" ht="6" customHeight="1" thickTop="1" x14ac:dyDescent="0.2">
      <c r="A24" s="6"/>
      <c r="B24" s="6"/>
      <c r="C24" s="6"/>
      <c r="D24" s="6"/>
      <c r="E24" s="6"/>
      <c r="F24" s="6"/>
      <c r="G24" s="6"/>
      <c r="H24" s="6"/>
      <c r="I24" s="10"/>
      <c r="J24" s="6"/>
    </row>
    <row r="25" spans="1:10" x14ac:dyDescent="0.2">
      <c r="A25" s="15" t="s">
        <v>298</v>
      </c>
      <c r="B25" s="6"/>
      <c r="C25" s="2"/>
      <c r="D25" s="7"/>
      <c r="E25" s="6"/>
      <c r="F25" s="6"/>
      <c r="G25" s="6"/>
      <c r="H25" s="6"/>
      <c r="I25" s="10"/>
      <c r="J25" s="6"/>
    </row>
    <row r="26" spans="1:10" x14ac:dyDescent="0.2">
      <c r="A26" s="14"/>
      <c r="B26" s="14"/>
      <c r="C26" s="34" t="s">
        <v>300</v>
      </c>
      <c r="D26" s="6" t="s">
        <v>299</v>
      </c>
      <c r="E26" s="6"/>
      <c r="F26" s="6"/>
      <c r="G26" s="6"/>
      <c r="H26" s="6"/>
      <c r="I26" s="10"/>
      <c r="J26" s="6"/>
    </row>
    <row r="27" spans="1:10" x14ac:dyDescent="0.2">
      <c r="A27" s="6"/>
      <c r="B27" s="6"/>
      <c r="C27" s="7"/>
      <c r="D27" s="6" t="s">
        <v>301</v>
      </c>
      <c r="E27" s="6"/>
      <c r="F27" s="6"/>
      <c r="G27" s="6"/>
      <c r="H27" s="6"/>
      <c r="I27" s="10">
        <f>'LBP NO. 2'!M34</f>
        <v>7065654</v>
      </c>
      <c r="J27" s="6"/>
    </row>
    <row r="28" spans="1:10" x14ac:dyDescent="0.2">
      <c r="A28" s="6"/>
      <c r="B28" s="6"/>
      <c r="C28" s="6"/>
      <c r="D28" s="6" t="s">
        <v>284</v>
      </c>
      <c r="E28" s="6"/>
      <c r="F28" s="6"/>
      <c r="G28" s="6"/>
      <c r="H28" s="6"/>
      <c r="I28" s="10">
        <f>'LBP NO. 2'!M44</f>
        <v>3033366</v>
      </c>
      <c r="J28" s="6"/>
    </row>
    <row r="29" spans="1:10" x14ac:dyDescent="0.2">
      <c r="A29" s="6"/>
      <c r="B29" s="6"/>
      <c r="C29" s="6"/>
      <c r="D29" s="6" t="s">
        <v>302</v>
      </c>
      <c r="E29" s="6"/>
      <c r="F29" s="6"/>
      <c r="G29" s="6"/>
      <c r="H29" s="6"/>
      <c r="I29" s="11">
        <f>'LBP NO. 2'!M54</f>
        <v>5000000</v>
      </c>
      <c r="J29" s="6"/>
    </row>
    <row r="30" spans="1:10" x14ac:dyDescent="0.2">
      <c r="A30" s="6"/>
      <c r="B30" s="6"/>
      <c r="C30" s="6"/>
      <c r="D30" s="7" t="s">
        <v>15</v>
      </c>
      <c r="E30" s="6"/>
      <c r="F30" s="6"/>
      <c r="G30" s="6"/>
      <c r="H30" s="6"/>
      <c r="I30" s="35">
        <f>SUM(I27:I29)</f>
        <v>15099020</v>
      </c>
      <c r="J30" s="6"/>
    </row>
    <row r="31" spans="1:10" x14ac:dyDescent="0.2">
      <c r="A31" s="6"/>
      <c r="B31" s="6"/>
      <c r="C31" s="6"/>
      <c r="D31" s="7"/>
      <c r="E31" s="6"/>
      <c r="F31" s="6"/>
      <c r="G31" s="6"/>
      <c r="H31" s="6"/>
      <c r="I31" s="10"/>
      <c r="J31" s="6"/>
    </row>
    <row r="32" spans="1:10" x14ac:dyDescent="0.2">
      <c r="A32" s="6"/>
      <c r="B32" s="6"/>
      <c r="C32" s="34" t="s">
        <v>303</v>
      </c>
      <c r="D32" s="6" t="s">
        <v>305</v>
      </c>
      <c r="E32" s="6"/>
      <c r="F32" s="6"/>
      <c r="G32" s="6"/>
      <c r="H32" s="6"/>
      <c r="I32" s="10">
        <f>'LBP NO. 2'!M104</f>
        <v>18449378</v>
      </c>
      <c r="J32" s="6"/>
    </row>
    <row r="33" spans="1:10" x14ac:dyDescent="0.2">
      <c r="A33" s="6"/>
      <c r="B33" s="6"/>
      <c r="C33" s="6"/>
      <c r="D33" s="6" t="s">
        <v>301</v>
      </c>
      <c r="E33" s="6"/>
      <c r="F33" s="6"/>
      <c r="G33" s="6"/>
      <c r="H33" s="6"/>
      <c r="I33" s="10">
        <f>'LBP NO. 2'!M119</f>
        <v>5998000</v>
      </c>
      <c r="J33" s="6"/>
    </row>
    <row r="34" spans="1:10" x14ac:dyDescent="0.2">
      <c r="A34" s="6"/>
      <c r="B34" s="6"/>
      <c r="C34" s="6"/>
      <c r="D34" s="6" t="s">
        <v>284</v>
      </c>
      <c r="E34" s="6"/>
      <c r="F34" s="6"/>
      <c r="G34" s="6"/>
      <c r="H34" s="6"/>
      <c r="I34" s="11">
        <f>'LBP NO. 2'!M126</f>
        <v>600000</v>
      </c>
      <c r="J34" s="6"/>
    </row>
    <row r="35" spans="1:10" x14ac:dyDescent="0.2">
      <c r="A35" s="6"/>
      <c r="B35" s="6"/>
      <c r="C35" s="6"/>
      <c r="D35" s="6" t="s">
        <v>302</v>
      </c>
      <c r="E35" s="6"/>
      <c r="F35" s="6"/>
      <c r="G35" s="6"/>
      <c r="H35" s="6"/>
      <c r="I35" s="35">
        <f>SUM(I32:I34)</f>
        <v>25047378</v>
      </c>
      <c r="J35" s="6"/>
    </row>
    <row r="36" spans="1:10" x14ac:dyDescent="0.2">
      <c r="A36" s="6"/>
      <c r="B36" s="6"/>
      <c r="C36" s="6"/>
      <c r="D36" s="7" t="s">
        <v>15</v>
      </c>
      <c r="E36" s="6"/>
      <c r="F36" s="6"/>
      <c r="G36" s="6"/>
      <c r="H36" s="6"/>
      <c r="I36" s="10"/>
      <c r="J36" s="6"/>
    </row>
    <row r="37" spans="1:10" x14ac:dyDescent="0.2">
      <c r="A37" s="6"/>
      <c r="B37" s="6"/>
      <c r="C37" s="6"/>
      <c r="D37" s="6"/>
      <c r="E37" s="6"/>
      <c r="F37" s="6"/>
      <c r="G37" s="6"/>
      <c r="H37" s="6"/>
      <c r="I37" s="10"/>
      <c r="J37" s="6"/>
    </row>
    <row r="38" spans="1:10" x14ac:dyDescent="0.2">
      <c r="A38" s="6"/>
      <c r="B38" s="6"/>
      <c r="C38" s="34" t="s">
        <v>304</v>
      </c>
      <c r="D38" s="6" t="s">
        <v>306</v>
      </c>
      <c r="E38" s="6"/>
      <c r="F38" s="6"/>
      <c r="G38" s="6"/>
      <c r="H38" s="6"/>
      <c r="I38" s="10"/>
      <c r="J38" s="6"/>
    </row>
    <row r="39" spans="1:10" x14ac:dyDescent="0.2">
      <c r="A39" s="6"/>
      <c r="B39" s="6"/>
      <c r="C39" s="6"/>
      <c r="D39" s="6" t="s">
        <v>301</v>
      </c>
      <c r="E39" s="6"/>
      <c r="F39" s="6"/>
      <c r="G39" s="6"/>
      <c r="H39" s="6"/>
      <c r="I39" s="10">
        <f>'LBP NO. 2'!M171</f>
        <v>2244584</v>
      </c>
      <c r="J39" s="6"/>
    </row>
    <row r="40" spans="1:10" x14ac:dyDescent="0.2">
      <c r="A40" s="6"/>
      <c r="B40" s="6"/>
      <c r="C40" s="6"/>
      <c r="D40" s="6" t="s">
        <v>284</v>
      </c>
      <c r="E40" s="6"/>
      <c r="F40" s="6"/>
      <c r="G40" s="6"/>
      <c r="H40" s="6"/>
      <c r="I40" s="10">
        <f>'LBP NO. 2'!M179</f>
        <v>458607</v>
      </c>
      <c r="J40" s="6"/>
    </row>
    <row r="41" spans="1:10" x14ac:dyDescent="0.2">
      <c r="A41" s="6"/>
      <c r="B41" s="6"/>
      <c r="C41" s="6"/>
      <c r="D41" s="6" t="s">
        <v>302</v>
      </c>
      <c r="E41" s="6"/>
      <c r="F41" s="6"/>
      <c r="G41" s="6"/>
      <c r="H41" s="6"/>
      <c r="I41" s="11">
        <f>'LBP NO. 2'!M184</f>
        <v>170000</v>
      </c>
      <c r="J41" s="6"/>
    </row>
    <row r="42" spans="1:10" x14ac:dyDescent="0.2">
      <c r="A42" s="6"/>
      <c r="B42" s="6"/>
      <c r="C42" s="6"/>
      <c r="D42" s="7" t="s">
        <v>15</v>
      </c>
      <c r="E42" s="6"/>
      <c r="F42" s="6"/>
      <c r="G42" s="6"/>
      <c r="H42" s="6"/>
      <c r="I42" s="35">
        <f>SUM(I39:I41)</f>
        <v>2873191</v>
      </c>
      <c r="J42" s="6"/>
    </row>
    <row r="43" spans="1:10" x14ac:dyDescent="0.2">
      <c r="A43" s="6"/>
      <c r="B43" s="6"/>
      <c r="C43" s="6"/>
      <c r="D43" s="6"/>
      <c r="E43" s="6"/>
      <c r="F43" s="6"/>
      <c r="G43" s="6"/>
      <c r="H43" s="6"/>
      <c r="I43" s="10"/>
      <c r="J43" s="6"/>
    </row>
    <row r="44" spans="1:10" x14ac:dyDescent="0.2">
      <c r="A44" s="6"/>
      <c r="B44" s="6"/>
      <c r="C44" s="34" t="s">
        <v>307</v>
      </c>
      <c r="D44" s="6" t="s">
        <v>318</v>
      </c>
      <c r="E44" s="6"/>
      <c r="F44" s="6"/>
      <c r="G44" s="6"/>
      <c r="H44" s="6"/>
      <c r="I44" s="16"/>
      <c r="J44" s="6"/>
    </row>
    <row r="45" spans="1:10" x14ac:dyDescent="0.2">
      <c r="A45" s="6"/>
      <c r="B45" s="6"/>
      <c r="C45" s="6"/>
      <c r="D45" s="6" t="s">
        <v>301</v>
      </c>
      <c r="E45" s="6"/>
      <c r="F45" s="6"/>
      <c r="G45" s="6"/>
      <c r="H45" s="6"/>
      <c r="I45" s="10">
        <f>'LBP NO. 2'!M238</f>
        <v>2013438</v>
      </c>
      <c r="J45" s="6"/>
    </row>
    <row r="46" spans="1:10" x14ac:dyDescent="0.2">
      <c r="A46" s="6"/>
      <c r="B46" s="6"/>
      <c r="C46" s="6"/>
      <c r="D46" s="6" t="s">
        <v>284</v>
      </c>
      <c r="E46" s="6"/>
      <c r="F46" s="6"/>
      <c r="G46" s="6"/>
      <c r="H46" s="6"/>
      <c r="I46" s="10">
        <f>'LBP NO. 2'!M247</f>
        <v>199250</v>
      </c>
      <c r="J46" s="6"/>
    </row>
    <row r="47" spans="1:10" x14ac:dyDescent="0.2">
      <c r="A47" s="6"/>
      <c r="B47" s="6"/>
      <c r="C47" s="6"/>
      <c r="D47" s="6" t="s">
        <v>302</v>
      </c>
      <c r="E47" s="6"/>
      <c r="F47" s="6"/>
      <c r="G47" s="6"/>
      <c r="H47" s="6"/>
      <c r="I47" s="11">
        <f>'LBP NO. 2'!M252</f>
        <v>70000</v>
      </c>
      <c r="J47" s="6"/>
    </row>
    <row r="48" spans="1:10" x14ac:dyDescent="0.2">
      <c r="A48" s="6"/>
      <c r="B48" s="6"/>
      <c r="C48" s="6"/>
      <c r="D48" s="7" t="s">
        <v>15</v>
      </c>
      <c r="E48" s="6"/>
      <c r="F48" s="6"/>
      <c r="G48" s="6"/>
      <c r="H48" s="6"/>
      <c r="I48" s="35">
        <f>SUM(I45:I47)</f>
        <v>2282688</v>
      </c>
      <c r="J48" s="6"/>
    </row>
    <row r="49" spans="1:11" x14ac:dyDescent="0.2">
      <c r="A49" s="6"/>
      <c r="B49" s="6"/>
      <c r="C49" s="6"/>
      <c r="D49" s="6"/>
      <c r="E49" s="6"/>
      <c r="F49" s="6"/>
      <c r="G49" s="6"/>
      <c r="H49" s="6"/>
      <c r="I49" s="16"/>
      <c r="J49" s="6"/>
    </row>
    <row r="50" spans="1:11" x14ac:dyDescent="0.2">
      <c r="A50" s="6"/>
      <c r="B50" s="6"/>
      <c r="C50" s="34" t="s">
        <v>308</v>
      </c>
      <c r="D50" s="6" t="s">
        <v>319</v>
      </c>
      <c r="E50" s="6"/>
      <c r="F50" s="6"/>
      <c r="G50" s="6"/>
      <c r="H50" s="6"/>
      <c r="I50" s="10">
        <f>'LBP NO. 2'!M309</f>
        <v>2161780</v>
      </c>
      <c r="J50" s="6"/>
    </row>
    <row r="51" spans="1:11" x14ac:dyDescent="0.2">
      <c r="A51" s="6"/>
      <c r="B51" s="6"/>
      <c r="C51" s="6"/>
      <c r="D51" s="6" t="s">
        <v>301</v>
      </c>
      <c r="E51" s="6"/>
      <c r="F51" s="6"/>
      <c r="H51" s="6"/>
      <c r="I51" s="10">
        <f>'LBP NO. 2'!M317</f>
        <v>310000</v>
      </c>
      <c r="J51" s="6"/>
      <c r="K51" s="29" t="e">
        <f>#REF!</f>
        <v>#REF!</v>
      </c>
    </row>
    <row r="52" spans="1:11" ht="14.25" customHeight="1" x14ac:dyDescent="0.2">
      <c r="A52" s="6"/>
      <c r="B52" s="6"/>
      <c r="C52" s="6"/>
      <c r="D52" s="6" t="s">
        <v>284</v>
      </c>
      <c r="E52" s="6"/>
      <c r="F52" s="6"/>
      <c r="G52" s="7"/>
      <c r="H52" s="6"/>
      <c r="I52" s="11">
        <f>'LBP NO. 2'!M322</f>
        <v>20000</v>
      </c>
      <c r="J52" s="6"/>
    </row>
    <row r="53" spans="1:11" ht="14.25" customHeight="1" x14ac:dyDescent="0.2">
      <c r="A53" s="6"/>
      <c r="B53" s="6"/>
      <c r="C53" s="6"/>
      <c r="D53" s="6" t="s">
        <v>302</v>
      </c>
      <c r="E53" s="6"/>
      <c r="F53" s="6"/>
      <c r="G53" s="7"/>
      <c r="H53" s="6"/>
      <c r="I53" s="35">
        <f>SUM(I50:I52)</f>
        <v>2491780</v>
      </c>
      <c r="J53" s="6"/>
    </row>
    <row r="54" spans="1:11" ht="14.25" customHeight="1" x14ac:dyDescent="0.2">
      <c r="A54" s="6"/>
      <c r="B54" s="6"/>
      <c r="C54" s="6"/>
      <c r="D54" s="7" t="s">
        <v>15</v>
      </c>
      <c r="E54" s="6"/>
      <c r="F54" s="6"/>
      <c r="G54" s="7"/>
      <c r="H54" s="6"/>
      <c r="I54" s="10"/>
      <c r="J54" s="6"/>
    </row>
    <row r="55" spans="1:11" ht="14.25" customHeight="1" x14ac:dyDescent="0.2">
      <c r="A55" s="6"/>
      <c r="B55" s="6"/>
      <c r="C55" s="6"/>
      <c r="D55" s="6"/>
      <c r="E55" s="6"/>
      <c r="F55" s="6"/>
      <c r="G55" s="7"/>
      <c r="H55" s="6"/>
      <c r="I55" s="17"/>
      <c r="J55" s="6"/>
    </row>
    <row r="56" spans="1:11" x14ac:dyDescent="0.2">
      <c r="A56" s="6"/>
      <c r="B56" s="6"/>
      <c r="C56" s="34" t="s">
        <v>309</v>
      </c>
      <c r="D56" s="6" t="s">
        <v>320</v>
      </c>
      <c r="E56" s="6"/>
      <c r="F56" s="6"/>
      <c r="G56" s="6"/>
      <c r="H56" s="6"/>
      <c r="I56" s="10"/>
      <c r="J56" s="6"/>
    </row>
    <row r="57" spans="1:11" x14ac:dyDescent="0.2">
      <c r="A57" s="6"/>
      <c r="B57" s="6"/>
      <c r="C57" s="6"/>
      <c r="D57" s="6" t="s">
        <v>301</v>
      </c>
      <c r="E57" s="6"/>
      <c r="F57" s="6"/>
      <c r="G57" s="6"/>
      <c r="H57" s="6"/>
      <c r="I57" s="10">
        <f>'LBP NO. 2'!M377</f>
        <v>2617436</v>
      </c>
      <c r="J57" s="6"/>
    </row>
    <row r="58" spans="1:11" x14ac:dyDescent="0.2">
      <c r="A58" s="6"/>
      <c r="B58" s="6"/>
      <c r="C58" s="6"/>
      <c r="D58" s="6" t="s">
        <v>284</v>
      </c>
      <c r="E58" s="6"/>
      <c r="F58" s="6"/>
      <c r="G58" s="6"/>
      <c r="H58" s="6"/>
      <c r="I58" s="10">
        <f>'LBP NO. 2'!M385</f>
        <v>499245</v>
      </c>
      <c r="J58" s="6"/>
    </row>
    <row r="59" spans="1:11" x14ac:dyDescent="0.2">
      <c r="A59" s="6"/>
      <c r="B59" s="6"/>
      <c r="C59" s="6"/>
      <c r="D59" s="6" t="s">
        <v>302</v>
      </c>
      <c r="E59" s="6"/>
      <c r="F59" s="6"/>
      <c r="G59" s="6"/>
      <c r="H59" s="6"/>
      <c r="I59" s="11">
        <f>'LBP NO. 2'!M391</f>
        <v>105500</v>
      </c>
      <c r="J59" s="6"/>
    </row>
    <row r="60" spans="1:11" x14ac:dyDescent="0.2">
      <c r="A60" s="6"/>
      <c r="B60" s="6"/>
      <c r="C60" s="6"/>
      <c r="D60" s="7" t="s">
        <v>15</v>
      </c>
      <c r="E60" s="6"/>
      <c r="F60" s="6"/>
      <c r="G60" s="6"/>
      <c r="H60" s="6"/>
      <c r="I60" s="35">
        <f>SUM(I57:I59)</f>
        <v>3222181</v>
      </c>
      <c r="J60" s="6"/>
    </row>
    <row r="61" spans="1:11" x14ac:dyDescent="0.2">
      <c r="A61" s="6"/>
      <c r="B61" s="6"/>
      <c r="C61" s="6"/>
      <c r="D61" s="6"/>
      <c r="E61" s="6"/>
      <c r="F61" s="6"/>
      <c r="G61" s="6"/>
      <c r="H61" s="6"/>
      <c r="I61" s="10"/>
      <c r="J61" s="6"/>
    </row>
    <row r="62" spans="1:11" x14ac:dyDescent="0.2">
      <c r="A62" s="6"/>
      <c r="B62" s="6"/>
      <c r="C62" s="34" t="s">
        <v>310</v>
      </c>
      <c r="D62" s="6" t="s">
        <v>321</v>
      </c>
      <c r="E62" s="6"/>
      <c r="F62" s="6"/>
      <c r="G62" s="6"/>
      <c r="H62" s="6"/>
      <c r="I62" s="10"/>
      <c r="J62" s="6"/>
    </row>
    <row r="63" spans="1:11" x14ac:dyDescent="0.2">
      <c r="A63" s="6"/>
      <c r="B63" s="6"/>
      <c r="C63" s="6"/>
      <c r="D63" s="6" t="s">
        <v>301</v>
      </c>
      <c r="E63" s="6"/>
      <c r="F63" s="6"/>
      <c r="G63" s="6"/>
      <c r="H63" s="6"/>
      <c r="I63" s="10">
        <f>'LBP NO. 2'!M446</f>
        <v>4572309</v>
      </c>
      <c r="J63" s="6"/>
    </row>
    <row r="64" spans="1:11" x14ac:dyDescent="0.2">
      <c r="A64" s="6"/>
      <c r="B64" s="6"/>
      <c r="C64" s="6"/>
      <c r="D64" s="6" t="s">
        <v>284</v>
      </c>
      <c r="E64" s="6"/>
      <c r="F64" s="6"/>
      <c r="G64" s="6"/>
      <c r="H64" s="6"/>
      <c r="I64" s="10">
        <f>'LBP NO. 2'!M457</f>
        <v>904000</v>
      </c>
      <c r="J64" s="6"/>
    </row>
    <row r="65" spans="1:10" x14ac:dyDescent="0.2">
      <c r="A65" s="6"/>
      <c r="B65" s="6"/>
      <c r="C65" s="6"/>
      <c r="D65" s="6" t="s">
        <v>302</v>
      </c>
      <c r="E65" s="6"/>
      <c r="F65" s="6"/>
      <c r="G65" s="6"/>
      <c r="H65" s="6"/>
      <c r="I65" s="11">
        <f>'LBP NO. 2'!M463</f>
        <v>160000</v>
      </c>
      <c r="J65" s="6"/>
    </row>
    <row r="66" spans="1:10" x14ac:dyDescent="0.2">
      <c r="A66" s="6"/>
      <c r="B66" s="6"/>
      <c r="C66" s="6"/>
      <c r="D66" s="7" t="s">
        <v>15</v>
      </c>
      <c r="E66" s="6"/>
      <c r="F66" s="6"/>
      <c r="G66" s="6"/>
      <c r="H66" s="6"/>
      <c r="I66" s="35">
        <f>SUM(I63:I65)</f>
        <v>5636309</v>
      </c>
      <c r="J66" s="6"/>
    </row>
    <row r="67" spans="1:10" x14ac:dyDescent="0.2">
      <c r="A67" s="6"/>
      <c r="B67" s="6"/>
      <c r="C67" s="6"/>
      <c r="D67" s="7"/>
      <c r="E67" s="6"/>
      <c r="F67" s="6"/>
      <c r="G67" s="6"/>
      <c r="H67" s="6"/>
      <c r="I67" s="35"/>
      <c r="J67" s="6"/>
    </row>
    <row r="68" spans="1:10" x14ac:dyDescent="0.2">
      <c r="A68" s="6"/>
      <c r="B68" s="6"/>
      <c r="C68" s="6"/>
      <c r="D68" s="6"/>
      <c r="E68" s="6"/>
      <c r="F68" s="6"/>
      <c r="G68" s="6"/>
      <c r="H68" s="6"/>
      <c r="I68" s="10"/>
      <c r="J68" s="6"/>
    </row>
    <row r="69" spans="1:10" x14ac:dyDescent="0.2">
      <c r="A69" s="6"/>
      <c r="B69" s="6"/>
      <c r="C69" s="6"/>
      <c r="D69" s="6"/>
      <c r="E69" s="6"/>
      <c r="F69" s="6"/>
      <c r="G69" s="6"/>
      <c r="H69" s="6"/>
      <c r="I69" s="10"/>
      <c r="J69" s="6"/>
    </row>
    <row r="70" spans="1:10" x14ac:dyDescent="0.2">
      <c r="A70" s="6"/>
      <c r="B70" s="6"/>
      <c r="C70" s="6"/>
      <c r="D70" s="6"/>
      <c r="E70" s="6"/>
      <c r="F70" s="6"/>
      <c r="G70" s="6"/>
      <c r="H70" s="6"/>
      <c r="I70" s="10"/>
      <c r="J70" s="6"/>
    </row>
    <row r="71" spans="1:10" x14ac:dyDescent="0.2">
      <c r="A71" s="6"/>
      <c r="B71" s="6"/>
      <c r="C71" s="34" t="s">
        <v>311</v>
      </c>
      <c r="D71" s="6" t="s">
        <v>322</v>
      </c>
      <c r="E71" s="6"/>
      <c r="F71" s="6"/>
      <c r="G71" s="6"/>
      <c r="H71" s="6"/>
      <c r="I71" s="10"/>
      <c r="J71" s="6"/>
    </row>
    <row r="72" spans="1:10" x14ac:dyDescent="0.2">
      <c r="A72" s="6"/>
      <c r="B72" s="6"/>
      <c r="C72" s="6"/>
      <c r="D72" s="6" t="s">
        <v>301</v>
      </c>
      <c r="E72" s="6"/>
      <c r="F72" s="6"/>
      <c r="G72" s="6"/>
      <c r="H72" s="6"/>
      <c r="I72" s="10">
        <f>'LBP NO. 2'!M513</f>
        <v>2779008</v>
      </c>
      <c r="J72" s="6"/>
    </row>
    <row r="73" spans="1:10" x14ac:dyDescent="0.2">
      <c r="A73" s="6"/>
      <c r="B73" s="6"/>
      <c r="C73" s="6"/>
      <c r="D73" s="6" t="s">
        <v>284</v>
      </c>
      <c r="E73" s="6"/>
      <c r="F73" s="6"/>
      <c r="G73" s="6"/>
      <c r="H73" s="6"/>
      <c r="I73" s="10">
        <f>'LBP NO. 2'!M522</f>
        <v>431500</v>
      </c>
      <c r="J73" s="6"/>
    </row>
    <row r="74" spans="1:10" x14ac:dyDescent="0.2">
      <c r="A74" s="6"/>
      <c r="B74" s="6"/>
      <c r="C74" s="6"/>
      <c r="D74" s="6" t="s">
        <v>302</v>
      </c>
      <c r="E74" s="6"/>
      <c r="F74" s="6"/>
      <c r="G74" s="6"/>
      <c r="H74" s="6"/>
      <c r="I74" s="11">
        <f>'LBP NO. 2'!M528</f>
        <v>135000</v>
      </c>
      <c r="J74" s="6"/>
    </row>
    <row r="75" spans="1:10" x14ac:dyDescent="0.2">
      <c r="A75" s="6"/>
      <c r="B75" s="6"/>
      <c r="C75" s="6"/>
      <c r="D75" s="7" t="s">
        <v>15</v>
      </c>
      <c r="E75" s="6"/>
      <c r="F75" s="6"/>
      <c r="G75" s="6"/>
      <c r="H75" s="6"/>
      <c r="I75" s="35">
        <f>SUM(I72:I74)</f>
        <v>3345508</v>
      </c>
      <c r="J75" s="6"/>
    </row>
    <row r="76" spans="1:10" x14ac:dyDescent="0.2">
      <c r="A76" s="6"/>
      <c r="B76" s="6"/>
      <c r="C76" s="6"/>
      <c r="D76" s="6"/>
      <c r="E76" s="6"/>
      <c r="F76" s="6"/>
      <c r="G76" s="6"/>
      <c r="H76" s="6"/>
      <c r="I76" s="10"/>
      <c r="J76" s="6"/>
    </row>
    <row r="77" spans="1:10" x14ac:dyDescent="0.2">
      <c r="A77" s="6"/>
      <c r="B77" s="6"/>
      <c r="C77" s="34" t="s">
        <v>312</v>
      </c>
      <c r="D77" s="6" t="s">
        <v>323</v>
      </c>
      <c r="E77" s="6"/>
      <c r="F77" s="6"/>
      <c r="G77" s="6"/>
      <c r="H77" s="6"/>
      <c r="I77" s="10"/>
      <c r="J77" s="6"/>
    </row>
    <row r="78" spans="1:10" x14ac:dyDescent="0.2">
      <c r="A78" s="6"/>
      <c r="B78" s="6"/>
      <c r="C78" s="6"/>
      <c r="D78" s="6" t="s">
        <v>301</v>
      </c>
      <c r="E78" s="6"/>
      <c r="F78" s="6"/>
      <c r="G78" s="6"/>
      <c r="H78" s="6"/>
      <c r="I78" s="10">
        <f>'LBP NO. 2'!M582</f>
        <v>2425711</v>
      </c>
      <c r="J78" s="6"/>
    </row>
    <row r="79" spans="1:10" x14ac:dyDescent="0.2">
      <c r="A79" s="6"/>
      <c r="B79" s="6"/>
      <c r="C79" s="6"/>
      <c r="D79" s="6" t="s">
        <v>284</v>
      </c>
      <c r="E79" s="6"/>
      <c r="F79" s="6"/>
      <c r="G79" s="6"/>
      <c r="H79" s="6"/>
      <c r="I79" s="10">
        <f>'LBP NO. 2'!M591</f>
        <v>234000</v>
      </c>
      <c r="J79" s="6"/>
    </row>
    <row r="80" spans="1:10" x14ac:dyDescent="0.2">
      <c r="A80" s="6"/>
      <c r="B80" s="6"/>
      <c r="C80" s="6"/>
      <c r="D80" s="6" t="s">
        <v>302</v>
      </c>
      <c r="E80" s="6"/>
      <c r="F80" s="6"/>
      <c r="G80" s="6"/>
      <c r="H80" s="6"/>
      <c r="I80" s="11">
        <f>'LBP NO. 2'!M597</f>
        <v>220000</v>
      </c>
      <c r="J80" s="6"/>
    </row>
    <row r="81" spans="1:11" x14ac:dyDescent="0.2">
      <c r="A81" s="6"/>
      <c r="B81" s="6"/>
      <c r="C81" s="6"/>
      <c r="D81" s="7" t="s">
        <v>15</v>
      </c>
      <c r="E81" s="6"/>
      <c r="F81" s="6"/>
      <c r="G81" s="6"/>
      <c r="H81" s="6"/>
      <c r="I81" s="35">
        <f>SUM(I78:I80)</f>
        <v>2879711</v>
      </c>
      <c r="J81" s="6"/>
    </row>
    <row r="82" spans="1:11" x14ac:dyDescent="0.2">
      <c r="A82" s="6"/>
      <c r="B82" s="6"/>
      <c r="C82" s="6"/>
      <c r="D82" s="6"/>
      <c r="E82" s="6"/>
      <c r="F82" s="6"/>
      <c r="G82" s="6"/>
      <c r="H82" s="6"/>
      <c r="I82" s="10"/>
      <c r="J82" s="6"/>
    </row>
    <row r="83" spans="1:11" x14ac:dyDescent="0.2">
      <c r="A83" s="6"/>
      <c r="B83" s="6"/>
      <c r="C83" s="34" t="s">
        <v>313</v>
      </c>
      <c r="D83" s="6" t="s">
        <v>324</v>
      </c>
      <c r="E83" s="6"/>
      <c r="F83" s="6"/>
      <c r="G83" s="6"/>
      <c r="H83" s="6"/>
      <c r="I83" s="10"/>
      <c r="J83" s="6"/>
    </row>
    <row r="84" spans="1:11" x14ac:dyDescent="0.2">
      <c r="A84" s="6"/>
      <c r="B84" s="6"/>
      <c r="C84" s="6"/>
      <c r="D84" s="6" t="s">
        <v>301</v>
      </c>
      <c r="E84" s="6"/>
      <c r="F84" s="6"/>
      <c r="G84" s="6"/>
      <c r="H84" s="6"/>
      <c r="I84" s="10">
        <f>'LBP NO. 2'!M652</f>
        <v>2685850.8</v>
      </c>
      <c r="J84" s="6"/>
    </row>
    <row r="85" spans="1:11" x14ac:dyDescent="0.2">
      <c r="A85" s="6"/>
      <c r="B85" s="6"/>
      <c r="C85" s="6"/>
      <c r="D85" s="6" t="s">
        <v>284</v>
      </c>
      <c r="E85" s="6"/>
      <c r="F85" s="6"/>
      <c r="G85" s="6"/>
      <c r="H85" s="6"/>
      <c r="I85" s="10">
        <f>'LBP NO. 2'!M662</f>
        <v>2433040</v>
      </c>
      <c r="J85" s="6"/>
    </row>
    <row r="86" spans="1:11" x14ac:dyDescent="0.2">
      <c r="A86" s="6"/>
      <c r="B86" s="6"/>
      <c r="C86" s="6"/>
      <c r="D86" s="6" t="s">
        <v>302</v>
      </c>
      <c r="E86" s="6"/>
      <c r="F86" s="6"/>
      <c r="G86" s="6"/>
      <c r="H86" s="6"/>
      <c r="I86" s="11">
        <f>'LBP NO. 2'!M668</f>
        <v>190000</v>
      </c>
      <c r="J86" s="6"/>
    </row>
    <row r="87" spans="1:11" x14ac:dyDescent="0.2">
      <c r="A87" s="6"/>
      <c r="B87" s="6"/>
      <c r="C87" s="6"/>
      <c r="D87" s="7" t="s">
        <v>15</v>
      </c>
      <c r="E87" s="6"/>
      <c r="F87" s="6"/>
      <c r="G87" s="6"/>
      <c r="H87" s="6"/>
      <c r="I87" s="35">
        <f>SUM(I84:I86)</f>
        <v>5308890.8</v>
      </c>
      <c r="J87" s="6"/>
    </row>
    <row r="88" spans="1:11" x14ac:dyDescent="0.2">
      <c r="A88" s="6"/>
      <c r="B88" s="6"/>
      <c r="C88" s="6"/>
      <c r="D88" s="6"/>
      <c r="E88" s="6"/>
      <c r="F88" s="6"/>
      <c r="G88" s="6"/>
      <c r="H88" s="6"/>
      <c r="I88" s="10"/>
      <c r="J88" s="6"/>
    </row>
    <row r="89" spans="1:11" x14ac:dyDescent="0.2">
      <c r="A89" s="6"/>
      <c r="B89" s="6"/>
      <c r="C89" s="34" t="s">
        <v>314</v>
      </c>
      <c r="D89" s="6" t="s">
        <v>325</v>
      </c>
      <c r="E89" s="6"/>
      <c r="F89" s="6"/>
      <c r="G89" s="7"/>
      <c r="H89" s="6"/>
      <c r="I89" s="17"/>
      <c r="J89" s="6"/>
      <c r="K89" s="29" t="e">
        <f>#REF!</f>
        <v>#REF!</v>
      </c>
    </row>
    <row r="90" spans="1:11" ht="13.5" customHeight="1" x14ac:dyDescent="0.2">
      <c r="A90" s="6"/>
      <c r="B90" s="6"/>
      <c r="C90" s="6"/>
      <c r="D90" s="6" t="s">
        <v>301</v>
      </c>
      <c r="E90" s="6"/>
      <c r="F90" s="6"/>
      <c r="G90" s="7"/>
      <c r="H90" s="6"/>
      <c r="I90" s="10">
        <f>'LBP NO. 2'!M719</f>
        <v>4217052</v>
      </c>
      <c r="J90" s="6"/>
    </row>
    <row r="91" spans="1:11" x14ac:dyDescent="0.2">
      <c r="A91" s="6"/>
      <c r="B91" s="6"/>
      <c r="C91" s="6"/>
      <c r="D91" s="6" t="s">
        <v>284</v>
      </c>
      <c r="E91" s="6"/>
      <c r="F91" s="6"/>
      <c r="G91" s="6"/>
      <c r="H91" s="6"/>
      <c r="I91" s="10">
        <f>'LBP NO. 2'!M729</f>
        <v>1264932.2</v>
      </c>
      <c r="J91" s="6"/>
    </row>
    <row r="92" spans="1:11" x14ac:dyDescent="0.2">
      <c r="A92" s="6"/>
      <c r="B92" s="6"/>
      <c r="C92" s="6"/>
      <c r="D92" s="6" t="s">
        <v>302</v>
      </c>
      <c r="E92" s="6"/>
      <c r="F92" s="6"/>
      <c r="G92" s="6"/>
      <c r="H92" s="6"/>
      <c r="I92" s="11">
        <f>'LBP NO. 2'!M735</f>
        <v>120000</v>
      </c>
      <c r="J92" s="6"/>
    </row>
    <row r="93" spans="1:11" x14ac:dyDescent="0.2">
      <c r="A93" s="6"/>
      <c r="B93" s="6"/>
      <c r="C93" s="6"/>
      <c r="D93" s="7" t="s">
        <v>15</v>
      </c>
      <c r="E93" s="6"/>
      <c r="F93" s="6"/>
      <c r="G93" s="6"/>
      <c r="H93" s="6"/>
      <c r="I93" s="35">
        <f>SUM(I90:I92)</f>
        <v>5601984.2000000002</v>
      </c>
      <c r="J93" s="6"/>
    </row>
    <row r="94" spans="1:11" x14ac:dyDescent="0.2">
      <c r="A94" s="6"/>
      <c r="B94" s="6"/>
      <c r="C94" s="6"/>
      <c r="D94" s="6"/>
      <c r="E94" s="6"/>
      <c r="F94" s="6"/>
      <c r="G94" s="6"/>
      <c r="H94" s="6"/>
      <c r="I94" s="10"/>
      <c r="J94" s="6"/>
    </row>
    <row r="95" spans="1:11" x14ac:dyDescent="0.2">
      <c r="A95" s="6"/>
      <c r="B95" s="6"/>
      <c r="C95" s="34" t="s">
        <v>315</v>
      </c>
      <c r="D95" s="6" t="s">
        <v>326</v>
      </c>
      <c r="E95" s="6"/>
      <c r="F95" s="6"/>
      <c r="G95" s="6"/>
      <c r="H95" s="6"/>
      <c r="I95" s="10"/>
      <c r="J95" s="6"/>
    </row>
    <row r="96" spans="1:11" x14ac:dyDescent="0.2">
      <c r="A96" s="6"/>
      <c r="B96" s="6"/>
      <c r="C96" s="6"/>
      <c r="D96" s="6" t="s">
        <v>301</v>
      </c>
      <c r="E96" s="6"/>
      <c r="F96" s="6"/>
      <c r="G96" s="6"/>
      <c r="H96" s="6"/>
      <c r="I96" s="10">
        <f>'LBP NO. 2'!M790</f>
        <v>7797265</v>
      </c>
      <c r="J96" s="6"/>
    </row>
    <row r="97" spans="1:10" x14ac:dyDescent="0.2">
      <c r="A97" s="6"/>
      <c r="B97" s="6"/>
      <c r="C97" s="6"/>
      <c r="D97" s="6" t="s">
        <v>284</v>
      </c>
      <c r="E97" s="6"/>
      <c r="F97" s="6"/>
      <c r="G97" s="6"/>
      <c r="H97" s="6"/>
      <c r="I97" s="10">
        <f>'LBP NO. 2'!M800</f>
        <v>1986609</v>
      </c>
      <c r="J97" s="6"/>
    </row>
    <row r="98" spans="1:10" x14ac:dyDescent="0.2">
      <c r="A98" s="6"/>
      <c r="B98" s="6"/>
      <c r="C98" s="6"/>
      <c r="D98" s="6" t="s">
        <v>302</v>
      </c>
      <c r="E98" s="6"/>
      <c r="F98" s="6"/>
      <c r="G98" s="6"/>
      <c r="H98" s="6"/>
      <c r="I98" s="11">
        <f>'LBP NO. 2'!M805</f>
        <v>70000</v>
      </c>
      <c r="J98" s="6"/>
    </row>
    <row r="99" spans="1:10" x14ac:dyDescent="0.2">
      <c r="A99" s="6"/>
      <c r="B99" s="6"/>
      <c r="C99" s="6"/>
      <c r="D99" s="7" t="s">
        <v>15</v>
      </c>
      <c r="E99" s="6"/>
      <c r="F99" s="6"/>
      <c r="G99" s="6"/>
      <c r="H99" s="6"/>
      <c r="I99" s="35">
        <f>SUM(I96:I98)</f>
        <v>9853874</v>
      </c>
      <c r="J99" s="6"/>
    </row>
    <row r="100" spans="1:10" x14ac:dyDescent="0.2">
      <c r="A100" s="6"/>
      <c r="B100" s="6"/>
      <c r="C100" s="6"/>
      <c r="D100" s="6"/>
      <c r="E100" s="6"/>
      <c r="F100" s="6"/>
      <c r="G100" s="6"/>
      <c r="H100" s="6"/>
      <c r="I100" s="10"/>
      <c r="J100" s="6"/>
    </row>
    <row r="101" spans="1:10" x14ac:dyDescent="0.2">
      <c r="A101" s="6"/>
      <c r="B101" s="6"/>
      <c r="C101" s="34" t="s">
        <v>316</v>
      </c>
      <c r="D101" s="6" t="s">
        <v>327</v>
      </c>
      <c r="E101" s="6"/>
      <c r="F101" s="6"/>
      <c r="G101" s="6"/>
      <c r="H101" s="6"/>
      <c r="I101" s="10"/>
      <c r="J101" s="6"/>
    </row>
    <row r="102" spans="1:10" x14ac:dyDescent="0.2">
      <c r="A102" s="6"/>
      <c r="B102" s="6"/>
      <c r="C102" s="6"/>
      <c r="D102" s="6" t="s">
        <v>301</v>
      </c>
      <c r="E102" s="6"/>
      <c r="F102" s="6"/>
      <c r="G102" s="6"/>
      <c r="H102" s="6"/>
      <c r="I102" s="10">
        <f>'LBP NO. 2'!M854</f>
        <v>2932971</v>
      </c>
      <c r="J102" s="6"/>
    </row>
    <row r="103" spans="1:10" x14ac:dyDescent="0.2">
      <c r="A103" s="6"/>
      <c r="B103" s="6"/>
      <c r="C103" s="6"/>
      <c r="D103" s="6" t="s">
        <v>284</v>
      </c>
      <c r="E103" s="6"/>
      <c r="F103" s="6"/>
      <c r="G103" s="6"/>
      <c r="H103" s="6"/>
      <c r="I103" s="10">
        <f>'LBP NO. 2'!M862</f>
        <v>1588991</v>
      </c>
      <c r="J103" s="6"/>
    </row>
    <row r="104" spans="1:10" x14ac:dyDescent="0.2">
      <c r="A104" s="6"/>
      <c r="B104" s="6"/>
      <c r="C104" s="6"/>
      <c r="D104" s="6" t="s">
        <v>302</v>
      </c>
      <c r="E104" s="6"/>
      <c r="F104" s="6"/>
      <c r="G104" s="6"/>
      <c r="H104" s="6"/>
      <c r="I104" s="11">
        <f>'LBP NO. 2'!M865</f>
        <v>25000</v>
      </c>
      <c r="J104" s="6"/>
    </row>
    <row r="105" spans="1:10" x14ac:dyDescent="0.2">
      <c r="A105" s="6"/>
      <c r="B105" s="6"/>
      <c r="C105" s="6"/>
      <c r="D105" s="7" t="s">
        <v>15</v>
      </c>
      <c r="E105" s="6"/>
      <c r="F105" s="6"/>
      <c r="G105" s="6"/>
      <c r="H105" s="6"/>
      <c r="I105" s="35">
        <f>SUM(I102:I104)</f>
        <v>4546962</v>
      </c>
      <c r="J105" s="6"/>
    </row>
    <row r="106" spans="1:10" x14ac:dyDescent="0.2">
      <c r="A106" s="6"/>
      <c r="B106" s="6"/>
      <c r="C106" s="6"/>
      <c r="D106" s="6"/>
      <c r="E106" s="6"/>
      <c r="F106" s="6"/>
      <c r="G106" s="6"/>
      <c r="H106" s="6"/>
      <c r="I106" s="10"/>
      <c r="J106" s="6"/>
    </row>
    <row r="107" spans="1:10" x14ac:dyDescent="0.2">
      <c r="A107" s="6"/>
      <c r="B107" s="6"/>
      <c r="C107" s="34" t="s">
        <v>317</v>
      </c>
      <c r="D107" s="6" t="s">
        <v>329</v>
      </c>
      <c r="E107" s="6"/>
      <c r="F107" s="6"/>
      <c r="G107" s="6"/>
      <c r="H107" s="6"/>
      <c r="I107" s="10"/>
      <c r="J107" s="6"/>
    </row>
    <row r="108" spans="1:10" x14ac:dyDescent="0.2">
      <c r="A108" s="6"/>
      <c r="B108" s="6"/>
      <c r="C108" s="6"/>
      <c r="D108" s="6" t="s">
        <v>301</v>
      </c>
      <c r="E108" s="6"/>
      <c r="F108" s="6"/>
      <c r="G108" s="6"/>
      <c r="H108" s="6"/>
      <c r="I108" s="10">
        <f>'LBP NO. 2'!M918</f>
        <v>993914</v>
      </c>
      <c r="J108" s="6"/>
    </row>
    <row r="109" spans="1:10" x14ac:dyDescent="0.2">
      <c r="A109" s="6"/>
      <c r="B109" s="6"/>
      <c r="C109" s="6"/>
      <c r="D109" s="6" t="s">
        <v>284</v>
      </c>
      <c r="E109" s="6"/>
      <c r="F109" s="6"/>
      <c r="G109" s="6"/>
      <c r="H109" s="6"/>
      <c r="I109" s="10">
        <f>'LBP NO. 2'!M926</f>
        <v>319000</v>
      </c>
      <c r="J109" s="6"/>
    </row>
    <row r="110" spans="1:10" x14ac:dyDescent="0.2">
      <c r="A110" s="6"/>
      <c r="B110" s="6"/>
      <c r="C110" s="6"/>
      <c r="D110" s="6" t="s">
        <v>302</v>
      </c>
      <c r="E110" s="6"/>
      <c r="F110" s="6"/>
      <c r="G110" s="6"/>
      <c r="H110" s="6"/>
      <c r="I110" s="11">
        <f>'LBP NO. 2'!M931</f>
        <v>270000</v>
      </c>
      <c r="J110" s="6"/>
    </row>
    <row r="111" spans="1:10" x14ac:dyDescent="0.2">
      <c r="A111" s="6"/>
      <c r="B111" s="6"/>
      <c r="C111" s="6"/>
      <c r="D111" s="7" t="s">
        <v>15</v>
      </c>
      <c r="E111" s="6"/>
      <c r="F111" s="6"/>
      <c r="G111" s="6"/>
      <c r="H111" s="6"/>
      <c r="I111" s="35">
        <f>SUM(I108:I110)</f>
        <v>1582914</v>
      </c>
      <c r="J111" s="6"/>
    </row>
    <row r="112" spans="1:10" x14ac:dyDescent="0.2">
      <c r="A112" s="6"/>
      <c r="B112" s="6"/>
      <c r="C112" s="6"/>
      <c r="D112" s="6"/>
      <c r="E112" s="6"/>
      <c r="F112" s="6"/>
      <c r="G112" s="6"/>
      <c r="H112" s="6"/>
      <c r="I112" s="10"/>
      <c r="J112" s="6"/>
    </row>
    <row r="113" spans="1:11" x14ac:dyDescent="0.2">
      <c r="A113" s="6"/>
      <c r="B113" s="6"/>
      <c r="C113" s="34" t="s">
        <v>328</v>
      </c>
      <c r="D113" s="6" t="s">
        <v>330</v>
      </c>
      <c r="E113" s="6"/>
      <c r="F113" s="6"/>
      <c r="G113" s="6"/>
      <c r="H113" s="6"/>
      <c r="I113" s="10"/>
      <c r="J113" s="6"/>
    </row>
    <row r="114" spans="1:11" x14ac:dyDescent="0.2">
      <c r="A114" s="6"/>
      <c r="B114" s="6"/>
      <c r="C114" s="6"/>
      <c r="D114" s="6" t="s">
        <v>331</v>
      </c>
      <c r="E114" s="6"/>
      <c r="H114" s="6"/>
      <c r="I114" s="10">
        <f>'LBP NO. 2a'!K41</f>
        <v>6567450</v>
      </c>
      <c r="J114" s="6"/>
    </row>
    <row r="115" spans="1:11" x14ac:dyDescent="0.2">
      <c r="A115" s="6"/>
      <c r="B115" s="6"/>
      <c r="C115" s="6"/>
      <c r="D115" s="6" t="s">
        <v>332</v>
      </c>
      <c r="E115" s="6"/>
      <c r="F115" s="6"/>
      <c r="G115" s="18"/>
      <c r="H115" s="18"/>
      <c r="I115" s="10">
        <f>'LBP NO. 2a'!K165-'LBP NO. 2a'!K109</f>
        <v>68771000</v>
      </c>
      <c r="J115" s="6"/>
    </row>
    <row r="116" spans="1:11" x14ac:dyDescent="0.2">
      <c r="A116" s="6"/>
      <c r="B116" s="6"/>
      <c r="C116" s="6"/>
      <c r="D116" s="6" t="s">
        <v>333</v>
      </c>
      <c r="E116" s="6"/>
      <c r="F116" s="6"/>
      <c r="G116" s="18"/>
      <c r="H116" s="18"/>
      <c r="I116" s="11">
        <f>'LBP NO. 2a'!K109</f>
        <v>8705600</v>
      </c>
      <c r="J116" s="6"/>
    </row>
    <row r="117" spans="1:11" x14ac:dyDescent="0.2">
      <c r="A117" s="6"/>
      <c r="B117" s="6"/>
      <c r="C117" s="6"/>
      <c r="D117" s="6"/>
      <c r="E117" s="6"/>
      <c r="F117" s="6"/>
      <c r="G117" s="18"/>
      <c r="H117" s="18"/>
      <c r="I117" s="35">
        <f>SUM(I114:I116)</f>
        <v>84044050</v>
      </c>
      <c r="J117" s="6"/>
    </row>
    <row r="118" spans="1:11" x14ac:dyDescent="0.2">
      <c r="A118" s="6"/>
      <c r="B118" s="6"/>
      <c r="C118" s="6"/>
      <c r="D118" s="7" t="s">
        <v>15</v>
      </c>
      <c r="E118" s="6"/>
      <c r="F118" s="6"/>
      <c r="G118" s="18"/>
      <c r="H118" s="18"/>
      <c r="I118" s="35"/>
      <c r="J118" s="6"/>
    </row>
    <row r="119" spans="1:11" x14ac:dyDescent="0.2">
      <c r="A119" s="6"/>
      <c r="B119" s="6"/>
      <c r="C119" s="6"/>
      <c r="D119" s="7"/>
      <c r="E119" s="6"/>
      <c r="F119" s="6"/>
      <c r="G119" s="18"/>
      <c r="H119" s="18"/>
      <c r="I119" s="35"/>
      <c r="J119" s="6"/>
    </row>
    <row r="120" spans="1:11" x14ac:dyDescent="0.2">
      <c r="A120" s="6"/>
      <c r="B120" s="6"/>
      <c r="C120" s="6"/>
      <c r="D120" s="7" t="s">
        <v>334</v>
      </c>
      <c r="E120" s="6"/>
      <c r="F120" s="6"/>
      <c r="G120" s="18"/>
      <c r="H120" s="18"/>
      <c r="I120" s="35">
        <f>SUM(I117+I111+I105+I99+I93+I87+I81+I75+I66+I60+I53+I48+I42+I35+I30)</f>
        <v>173816441</v>
      </c>
      <c r="J120" s="6"/>
    </row>
    <row r="121" spans="1:11" ht="13.5" thickBot="1" x14ac:dyDescent="0.25">
      <c r="A121" s="6"/>
      <c r="B121" s="6"/>
      <c r="C121" s="6"/>
      <c r="D121" s="7" t="s">
        <v>335</v>
      </c>
      <c r="E121" s="6"/>
      <c r="F121" s="6"/>
      <c r="G121" s="18"/>
      <c r="H121" s="18"/>
      <c r="I121" s="31">
        <f>I15-I120</f>
        <v>295559</v>
      </c>
      <c r="J121" s="6"/>
    </row>
    <row r="122" spans="1:11" ht="13.5" thickTop="1" x14ac:dyDescent="0.2">
      <c r="A122" s="6"/>
      <c r="B122" s="6"/>
      <c r="C122" s="6"/>
      <c r="D122" s="6"/>
      <c r="E122" s="19"/>
      <c r="H122" s="18"/>
      <c r="I122" s="17"/>
      <c r="J122" s="6"/>
      <c r="K122" s="29"/>
    </row>
    <row r="123" spans="1:11" x14ac:dyDescent="0.2">
      <c r="A123" s="6"/>
      <c r="B123" s="6"/>
      <c r="C123" s="6"/>
      <c r="D123" s="6"/>
      <c r="E123" s="19"/>
      <c r="H123" s="18"/>
      <c r="I123" s="17"/>
      <c r="J123" s="6"/>
    </row>
    <row r="124" spans="1:11" x14ac:dyDescent="0.2">
      <c r="A124" s="6"/>
      <c r="B124" s="6"/>
      <c r="C124" s="6"/>
      <c r="D124" s="6"/>
      <c r="E124" s="19"/>
      <c r="H124" s="18"/>
      <c r="I124" s="17"/>
      <c r="J124" s="6"/>
    </row>
    <row r="125" spans="1:11" x14ac:dyDescent="0.2">
      <c r="A125" s="6"/>
      <c r="B125" s="6"/>
      <c r="C125" s="6"/>
      <c r="D125" s="6"/>
      <c r="E125" s="19"/>
      <c r="H125" s="18"/>
      <c r="I125" s="17"/>
      <c r="J125" s="6"/>
    </row>
    <row r="126" spans="1:11" x14ac:dyDescent="0.2">
      <c r="A126" s="6"/>
      <c r="B126" s="6"/>
      <c r="C126" s="6"/>
      <c r="D126" s="6"/>
      <c r="E126" s="19"/>
      <c r="H126" s="18"/>
      <c r="I126" s="17"/>
      <c r="J126" s="6"/>
    </row>
    <row r="127" spans="1:11" x14ac:dyDescent="0.2">
      <c r="A127" s="6"/>
      <c r="B127" s="6"/>
      <c r="C127" s="6"/>
      <c r="D127" s="6"/>
      <c r="E127" s="19"/>
      <c r="H127" s="18"/>
      <c r="I127" s="17"/>
      <c r="J127" s="6"/>
    </row>
    <row r="128" spans="1:11" x14ac:dyDescent="0.2">
      <c r="A128" s="6"/>
      <c r="B128" s="6"/>
      <c r="C128" s="6"/>
      <c r="D128" s="6"/>
      <c r="E128" s="19"/>
      <c r="H128" s="18"/>
      <c r="I128" s="17"/>
      <c r="J128" s="6"/>
    </row>
    <row r="129" spans="1:10" x14ac:dyDescent="0.2">
      <c r="A129" s="6"/>
      <c r="B129" s="6"/>
      <c r="C129" s="6"/>
      <c r="D129" s="6"/>
      <c r="E129" s="19"/>
      <c r="H129" s="18"/>
      <c r="I129" s="17"/>
      <c r="J129" s="6"/>
    </row>
    <row r="130" spans="1:10" x14ac:dyDescent="0.2">
      <c r="A130" s="6"/>
      <c r="B130" s="6"/>
      <c r="C130" s="6"/>
      <c r="D130" s="6"/>
      <c r="E130" s="19"/>
      <c r="H130" s="18"/>
      <c r="I130" s="17"/>
      <c r="J130" s="6"/>
    </row>
    <row r="131" spans="1:10" x14ac:dyDescent="0.2">
      <c r="A131" s="6"/>
      <c r="B131" s="6"/>
      <c r="C131" s="6"/>
      <c r="D131" s="6"/>
      <c r="E131" s="19"/>
      <c r="H131" s="18"/>
      <c r="I131" s="17"/>
      <c r="J131" s="6"/>
    </row>
    <row r="132" spans="1:10" x14ac:dyDescent="0.2">
      <c r="A132" s="6"/>
      <c r="B132" s="6"/>
      <c r="C132" s="6"/>
      <c r="D132" s="6"/>
      <c r="E132" s="19"/>
      <c r="H132" s="18"/>
      <c r="I132" s="17"/>
      <c r="J132" s="6"/>
    </row>
    <row r="133" spans="1:10" x14ac:dyDescent="0.2">
      <c r="A133" s="6"/>
      <c r="B133" s="6"/>
      <c r="C133" s="6"/>
      <c r="D133" s="6"/>
      <c r="E133" s="19"/>
      <c r="H133" s="18"/>
      <c r="I133" s="17"/>
      <c r="J133" s="6"/>
    </row>
    <row r="134" spans="1:10" x14ac:dyDescent="0.2">
      <c r="A134" s="6"/>
      <c r="B134" s="6"/>
      <c r="C134" s="6"/>
      <c r="D134" s="6"/>
      <c r="E134" s="19"/>
      <c r="H134" s="18"/>
      <c r="I134" s="17"/>
      <c r="J134" s="6"/>
    </row>
    <row r="135" spans="1:10" x14ac:dyDescent="0.2">
      <c r="A135" s="6"/>
      <c r="B135" s="6"/>
      <c r="C135" s="6"/>
      <c r="D135" s="6"/>
      <c r="E135" s="19"/>
      <c r="H135" s="18"/>
      <c r="I135" s="17"/>
      <c r="J135" s="6"/>
    </row>
    <row r="136" spans="1:10" x14ac:dyDescent="0.2">
      <c r="A136" s="6"/>
      <c r="B136" s="6"/>
      <c r="C136" s="6"/>
      <c r="D136" s="6"/>
      <c r="E136" s="19"/>
      <c r="H136" s="18"/>
      <c r="I136" s="17"/>
      <c r="J136" s="6"/>
    </row>
    <row r="137" spans="1:10" x14ac:dyDescent="0.2">
      <c r="A137" s="6"/>
      <c r="B137" s="6"/>
      <c r="C137" s="6"/>
      <c r="D137" s="6"/>
      <c r="E137" s="19"/>
      <c r="H137" s="18"/>
      <c r="I137" s="17"/>
      <c r="J137" s="6"/>
    </row>
    <row r="138" spans="1:10" x14ac:dyDescent="0.2">
      <c r="A138" s="6"/>
      <c r="B138" s="6"/>
      <c r="C138" s="6"/>
      <c r="D138" s="6"/>
      <c r="E138" s="19"/>
      <c r="H138" s="18"/>
      <c r="I138" s="17"/>
      <c r="J138" s="6"/>
    </row>
    <row r="139" spans="1:10" x14ac:dyDescent="0.2">
      <c r="A139" s="6"/>
      <c r="B139" s="6"/>
      <c r="C139" s="6"/>
      <c r="D139" s="6"/>
      <c r="E139" s="19"/>
      <c r="H139" s="18"/>
      <c r="I139" s="17"/>
      <c r="J139" s="6"/>
    </row>
    <row r="140" spans="1:10" x14ac:dyDescent="0.2">
      <c r="A140" s="6"/>
      <c r="B140" s="6"/>
      <c r="C140" s="6"/>
      <c r="D140" s="6"/>
      <c r="E140" s="19"/>
      <c r="H140" s="18"/>
      <c r="I140" s="17"/>
      <c r="J140" s="6"/>
    </row>
    <row r="141" spans="1:10" x14ac:dyDescent="0.2">
      <c r="A141" s="6"/>
      <c r="B141" s="6"/>
      <c r="C141" s="6"/>
      <c r="D141" s="6"/>
      <c r="E141" s="19"/>
      <c r="H141" s="18"/>
      <c r="I141" s="17"/>
      <c r="J141" s="6"/>
    </row>
    <row r="142" spans="1:10" x14ac:dyDescent="0.2">
      <c r="A142" s="6"/>
      <c r="B142" s="2" t="s">
        <v>336</v>
      </c>
      <c r="C142" s="9" t="s">
        <v>337</v>
      </c>
      <c r="D142" s="9"/>
      <c r="E142" s="19"/>
      <c r="H142" s="18"/>
      <c r="I142" s="17"/>
      <c r="J142" s="6"/>
    </row>
    <row r="143" spans="1:10" x14ac:dyDescent="0.2">
      <c r="A143" s="6"/>
      <c r="B143" s="6"/>
      <c r="C143" s="6"/>
      <c r="D143" s="6" t="s">
        <v>301</v>
      </c>
      <c r="E143" s="19"/>
      <c r="H143" s="18"/>
      <c r="I143" s="17">
        <f>'LBP NO. 2'!M992</f>
        <v>8148939</v>
      </c>
      <c r="J143" s="6"/>
    </row>
    <row r="144" spans="1:10" x14ac:dyDescent="0.2">
      <c r="A144" s="6"/>
      <c r="B144" s="6"/>
      <c r="C144" s="6"/>
      <c r="D144" s="6" t="s">
        <v>284</v>
      </c>
      <c r="E144" s="19"/>
      <c r="H144" s="18"/>
      <c r="I144" s="17">
        <f>'LBP NO. 2'!M1004</f>
        <v>3800118</v>
      </c>
      <c r="J144" s="6"/>
    </row>
    <row r="145" spans="1:10" x14ac:dyDescent="0.2">
      <c r="A145" s="6"/>
      <c r="B145" s="6"/>
      <c r="C145" s="6"/>
      <c r="D145" s="6" t="s">
        <v>302</v>
      </c>
      <c r="E145" s="19"/>
      <c r="H145" s="18"/>
      <c r="I145" s="17">
        <f>'LBP NO. 2'!M1011</f>
        <v>140000</v>
      </c>
      <c r="J145" s="6"/>
    </row>
    <row r="146" spans="1:10" x14ac:dyDescent="0.2">
      <c r="A146" s="6"/>
      <c r="B146" s="6"/>
      <c r="C146" s="6"/>
      <c r="D146" s="6" t="s">
        <v>333</v>
      </c>
      <c r="E146" s="19"/>
      <c r="H146" s="18"/>
      <c r="I146" s="36">
        <f>'LBP NO. 1'!N344</f>
        <v>0</v>
      </c>
      <c r="J146" s="6"/>
    </row>
    <row r="147" spans="1:10" x14ac:dyDescent="0.2">
      <c r="A147" s="6"/>
      <c r="B147" s="6"/>
      <c r="C147" s="6"/>
      <c r="D147" s="7" t="s">
        <v>338</v>
      </c>
      <c r="E147" s="19"/>
      <c r="H147" s="18"/>
      <c r="I147" s="17">
        <f>SUM(I143:I146)</f>
        <v>12089057</v>
      </c>
      <c r="J147" s="6"/>
    </row>
    <row r="148" spans="1:10" ht="13.5" thickBot="1" x14ac:dyDescent="0.25">
      <c r="A148" s="6"/>
      <c r="B148" s="6"/>
      <c r="C148" s="6"/>
      <c r="D148" s="7" t="s">
        <v>335</v>
      </c>
      <c r="E148" s="19"/>
      <c r="H148" s="18"/>
      <c r="I148" s="37">
        <f>I21-I147</f>
        <v>3943</v>
      </c>
      <c r="J148" s="6"/>
    </row>
    <row r="149" spans="1:10" ht="13.5" thickTop="1" x14ac:dyDescent="0.2">
      <c r="A149" s="6"/>
      <c r="B149" s="6"/>
      <c r="C149" s="6"/>
      <c r="D149" s="6"/>
      <c r="E149" s="19"/>
      <c r="H149" s="18"/>
      <c r="I149" s="17"/>
      <c r="J149" s="6"/>
    </row>
    <row r="150" spans="1:10" x14ac:dyDescent="0.2">
      <c r="A150" s="6"/>
      <c r="B150" s="6"/>
      <c r="C150" s="6"/>
      <c r="D150" s="6"/>
      <c r="E150" s="6"/>
      <c r="F150" s="6"/>
      <c r="G150" s="19"/>
      <c r="H150" s="18"/>
      <c r="I150" s="17"/>
      <c r="J150" s="6"/>
    </row>
    <row r="151" spans="1:10" x14ac:dyDescent="0.2">
      <c r="A151" s="15" t="s">
        <v>339</v>
      </c>
      <c r="B151" s="22"/>
      <c r="C151" s="22"/>
      <c r="D151" s="22"/>
      <c r="E151" s="22"/>
      <c r="F151" s="22"/>
      <c r="G151" s="22"/>
      <c r="H151" s="22"/>
      <c r="I151" s="22"/>
      <c r="J151" s="22"/>
    </row>
    <row r="153" spans="1:10" x14ac:dyDescent="0.2">
      <c r="D153" s="6" t="s">
        <v>296</v>
      </c>
    </row>
    <row r="154" spans="1:10" x14ac:dyDescent="0.2">
      <c r="D154" s="6" t="s">
        <v>340</v>
      </c>
      <c r="I154" s="29">
        <f>I15</f>
        <v>174112000</v>
      </c>
    </row>
    <row r="155" spans="1:10" x14ac:dyDescent="0.2">
      <c r="D155" s="6" t="s">
        <v>341</v>
      </c>
      <c r="I155" s="38">
        <f>I21</f>
        <v>12093000</v>
      </c>
    </row>
    <row r="156" spans="1:10" ht="13.5" thickBot="1" x14ac:dyDescent="0.25">
      <c r="D156" s="7" t="s">
        <v>342</v>
      </c>
      <c r="I156" s="39">
        <f>SUM(I154:I155)</f>
        <v>186205000</v>
      </c>
    </row>
    <row r="157" spans="1:10" ht="13.5" thickTop="1" x14ac:dyDescent="0.2"/>
    <row r="159" spans="1:10" x14ac:dyDescent="0.2">
      <c r="D159" s="6" t="s">
        <v>343</v>
      </c>
    </row>
    <row r="160" spans="1:10" x14ac:dyDescent="0.2">
      <c r="D160" s="6" t="s">
        <v>340</v>
      </c>
      <c r="I160" s="29">
        <f>I120</f>
        <v>173816441</v>
      </c>
    </row>
    <row r="161" spans="1:9" x14ac:dyDescent="0.2">
      <c r="D161" s="6" t="s">
        <v>341</v>
      </c>
      <c r="I161" s="38">
        <f>I147</f>
        <v>12089057</v>
      </c>
    </row>
    <row r="162" spans="1:9" ht="13.5" thickBot="1" x14ac:dyDescent="0.25">
      <c r="D162" s="7" t="s">
        <v>344</v>
      </c>
      <c r="I162" s="39">
        <f>SUM(I160:I161)</f>
        <v>185905498</v>
      </c>
    </row>
    <row r="163" spans="1:9" ht="13.5" thickTop="1" x14ac:dyDescent="0.2"/>
    <row r="165" spans="1:9" x14ac:dyDescent="0.2">
      <c r="D165" s="6" t="s">
        <v>345</v>
      </c>
      <c r="I165" s="29"/>
    </row>
    <row r="166" spans="1:9" x14ac:dyDescent="0.2">
      <c r="D166" s="6" t="s">
        <v>340</v>
      </c>
      <c r="I166" s="48">
        <f>I121</f>
        <v>295559</v>
      </c>
    </row>
    <row r="167" spans="1:9" x14ac:dyDescent="0.2">
      <c r="D167" s="6" t="s">
        <v>341</v>
      </c>
      <c r="I167" s="49">
        <f>I148</f>
        <v>3943</v>
      </c>
    </row>
    <row r="168" spans="1:9" x14ac:dyDescent="0.2">
      <c r="E168" s="7" t="s">
        <v>15</v>
      </c>
      <c r="I168" s="24">
        <f>I166+I167</f>
        <v>299502</v>
      </c>
    </row>
    <row r="170" spans="1:9" ht="13.5" thickBot="1" x14ac:dyDescent="0.25">
      <c r="E170" s="7" t="s">
        <v>43</v>
      </c>
      <c r="I170" s="25">
        <f>I168+I162</f>
        <v>186205000</v>
      </c>
    </row>
    <row r="171" spans="1:9" ht="13.5" thickTop="1" x14ac:dyDescent="0.2"/>
    <row r="173" spans="1:9" x14ac:dyDescent="0.2">
      <c r="A173" s="15" t="s">
        <v>346</v>
      </c>
    </row>
    <row r="175" spans="1:9" x14ac:dyDescent="0.2">
      <c r="A175" s="40" t="s">
        <v>347</v>
      </c>
      <c r="B175" s="6" t="s">
        <v>355</v>
      </c>
      <c r="H175" s="6" t="s">
        <v>879</v>
      </c>
    </row>
    <row r="176" spans="1:9" x14ac:dyDescent="0.2">
      <c r="A176" s="40"/>
      <c r="B176" s="6"/>
      <c r="H176" s="6" t="s">
        <v>880</v>
      </c>
    </row>
    <row r="177" spans="1:8" x14ac:dyDescent="0.2">
      <c r="A177" s="40"/>
      <c r="B177" s="6"/>
      <c r="H177" s="6"/>
    </row>
    <row r="178" spans="1:8" x14ac:dyDescent="0.2">
      <c r="A178" s="40" t="s">
        <v>348</v>
      </c>
      <c r="B178" s="6" t="s">
        <v>356</v>
      </c>
      <c r="H178" s="6" t="s">
        <v>881</v>
      </c>
    </row>
    <row r="179" spans="1:8" x14ac:dyDescent="0.2">
      <c r="H179" s="6" t="s">
        <v>882</v>
      </c>
    </row>
    <row r="180" spans="1:8" x14ac:dyDescent="0.2">
      <c r="H180" s="6"/>
    </row>
    <row r="181" spans="1:8" x14ac:dyDescent="0.2">
      <c r="A181" s="40" t="s">
        <v>349</v>
      </c>
      <c r="B181" s="6" t="s">
        <v>878</v>
      </c>
      <c r="H181" s="6" t="s">
        <v>881</v>
      </c>
    </row>
    <row r="182" spans="1:8" x14ac:dyDescent="0.2">
      <c r="H182" s="6" t="s">
        <v>888</v>
      </c>
    </row>
    <row r="183" spans="1:8" x14ac:dyDescent="0.2">
      <c r="H183" s="6"/>
    </row>
    <row r="184" spans="1:8" x14ac:dyDescent="0.2">
      <c r="A184" s="40" t="s">
        <v>350</v>
      </c>
      <c r="B184" s="6" t="s">
        <v>357</v>
      </c>
      <c r="H184" s="6" t="s">
        <v>362</v>
      </c>
    </row>
    <row r="185" spans="1:8" x14ac:dyDescent="0.2">
      <c r="A185" s="40"/>
      <c r="B185" s="6"/>
      <c r="H185" s="6"/>
    </row>
    <row r="186" spans="1:8" x14ac:dyDescent="0.2">
      <c r="A186" s="105" t="s">
        <v>351</v>
      </c>
      <c r="B186" s="104" t="s">
        <v>938</v>
      </c>
      <c r="H186" s="104" t="s">
        <v>939</v>
      </c>
    </row>
    <row r="187" spans="1:8" x14ac:dyDescent="0.2">
      <c r="A187" s="40"/>
      <c r="B187" s="6"/>
      <c r="H187" s="6"/>
    </row>
    <row r="188" spans="1:8" x14ac:dyDescent="0.2">
      <c r="A188" s="105" t="s">
        <v>352</v>
      </c>
      <c r="B188" s="6" t="s">
        <v>358</v>
      </c>
      <c r="H188" s="6" t="s">
        <v>883</v>
      </c>
    </row>
    <row r="189" spans="1:8" x14ac:dyDescent="0.2">
      <c r="A189" s="40"/>
      <c r="B189" s="6"/>
      <c r="H189" s="6" t="s">
        <v>884</v>
      </c>
    </row>
    <row r="191" spans="1:8" x14ac:dyDescent="0.2">
      <c r="A191" s="105" t="s">
        <v>353</v>
      </c>
      <c r="B191" s="6" t="s">
        <v>359</v>
      </c>
      <c r="H191" s="6" t="s">
        <v>885</v>
      </c>
    </row>
    <row r="192" spans="1:8" x14ac:dyDescent="0.2">
      <c r="A192" s="40"/>
      <c r="B192" s="6"/>
      <c r="H192" s="6"/>
    </row>
    <row r="193" spans="1:9" x14ac:dyDescent="0.2">
      <c r="A193" s="105" t="s">
        <v>354</v>
      </c>
      <c r="B193" s="6" t="s">
        <v>360</v>
      </c>
      <c r="H193" s="6" t="s">
        <v>886</v>
      </c>
    </row>
    <row r="194" spans="1:9" x14ac:dyDescent="0.2">
      <c r="H194" s="6" t="s">
        <v>363</v>
      </c>
    </row>
    <row r="195" spans="1:9" x14ac:dyDescent="0.2">
      <c r="H195" s="6"/>
    </row>
    <row r="196" spans="1:9" x14ac:dyDescent="0.2">
      <c r="A196" s="105" t="s">
        <v>940</v>
      </c>
      <c r="B196" s="6" t="s">
        <v>361</v>
      </c>
      <c r="H196" s="6" t="s">
        <v>887</v>
      </c>
    </row>
    <row r="197" spans="1:9" x14ac:dyDescent="0.2">
      <c r="A197" s="40"/>
      <c r="B197" s="6"/>
      <c r="H197" s="6"/>
    </row>
    <row r="201" spans="1:9" x14ac:dyDescent="0.2">
      <c r="A201" s="1312" t="s">
        <v>1654</v>
      </c>
      <c r="B201" s="1312"/>
      <c r="C201" s="1312"/>
      <c r="D201" s="1312"/>
      <c r="E201" s="1312"/>
      <c r="F201" s="1312"/>
      <c r="G201" s="1312"/>
      <c r="H201" s="1312"/>
      <c r="I201" s="1312"/>
    </row>
    <row r="202" spans="1:9" x14ac:dyDescent="0.2">
      <c r="A202" s="1312" t="s">
        <v>364</v>
      </c>
      <c r="B202" s="1312"/>
      <c r="C202" s="1312"/>
      <c r="D202" s="1312"/>
      <c r="E202" s="1312"/>
      <c r="F202" s="1312"/>
      <c r="G202" s="1312"/>
      <c r="H202" s="1312"/>
      <c r="I202" s="1312"/>
    </row>
    <row r="203" spans="1:9" x14ac:dyDescent="0.2">
      <c r="A203" s="1312" t="s">
        <v>182</v>
      </c>
      <c r="B203" s="1312"/>
      <c r="C203" s="1312"/>
      <c r="D203" s="1312"/>
      <c r="E203" s="1312"/>
      <c r="F203" s="1312"/>
      <c r="G203" s="1312"/>
      <c r="H203" s="1312"/>
      <c r="I203" s="1312"/>
    </row>
    <row r="204" spans="1:9" x14ac:dyDescent="0.2">
      <c r="A204" s="1312" t="s">
        <v>0</v>
      </c>
      <c r="B204" s="1312"/>
      <c r="C204" s="1312"/>
      <c r="D204" s="1312"/>
      <c r="E204" s="1312"/>
      <c r="F204" s="1312"/>
      <c r="G204" s="1312"/>
      <c r="H204" s="1312"/>
      <c r="I204" s="1312"/>
    </row>
    <row r="206" spans="1:9" x14ac:dyDescent="0.2">
      <c r="I206" s="41"/>
    </row>
    <row r="207" spans="1:9" x14ac:dyDescent="0.2">
      <c r="I207" s="41"/>
    </row>
    <row r="208" spans="1:9" x14ac:dyDescent="0.2">
      <c r="A208" s="6" t="s">
        <v>365</v>
      </c>
      <c r="I208" s="41">
        <f>I15</f>
        <v>174112000</v>
      </c>
    </row>
    <row r="209" spans="1:13" x14ac:dyDescent="0.2">
      <c r="I209" s="41"/>
    </row>
    <row r="210" spans="1:13" x14ac:dyDescent="0.2">
      <c r="A210" s="6" t="s">
        <v>366</v>
      </c>
      <c r="I210" s="42">
        <f>I120</f>
        <v>173816441</v>
      </c>
    </row>
    <row r="211" spans="1:13" x14ac:dyDescent="0.2">
      <c r="I211" s="41"/>
    </row>
    <row r="212" spans="1:13" ht="13.5" thickBot="1" x14ac:dyDescent="0.25">
      <c r="B212" s="6" t="s">
        <v>20</v>
      </c>
      <c r="I212" s="43">
        <f>I208-I210</f>
        <v>295559</v>
      </c>
    </row>
    <row r="213" spans="1:13" ht="13.5" thickTop="1" x14ac:dyDescent="0.2">
      <c r="I213" s="41"/>
    </row>
    <row r="214" spans="1:13" x14ac:dyDescent="0.2">
      <c r="I214" s="41"/>
    </row>
    <row r="215" spans="1:13" x14ac:dyDescent="0.2">
      <c r="I215" s="41"/>
    </row>
    <row r="216" spans="1:13" x14ac:dyDescent="0.2">
      <c r="A216" s="104" t="s">
        <v>1648</v>
      </c>
      <c r="I216" s="41">
        <f>SUM('LBP NO. 1'!J29+'LBP NO. 1'!J60+'LBP NO. 1'!J63)</f>
        <v>147324240.88999999</v>
      </c>
    </row>
    <row r="217" spans="1:13" x14ac:dyDescent="0.2">
      <c r="I217" s="44" t="s">
        <v>367</v>
      </c>
    </row>
    <row r="218" spans="1:13" x14ac:dyDescent="0.2">
      <c r="A218" s="104" t="s">
        <v>1649</v>
      </c>
      <c r="I218" s="41">
        <f>I216*0.45</f>
        <v>66295908.400499992</v>
      </c>
    </row>
    <row r="219" spans="1:13" x14ac:dyDescent="0.2">
      <c r="A219" s="104" t="s">
        <v>1650</v>
      </c>
      <c r="I219" s="42">
        <f>I230</f>
        <v>60956350.799999997</v>
      </c>
      <c r="K219" s="21" t="e">
        <f>SUM('PROPOSED BUDGET'!H46)-SUM('[1]LBP NO. 2'!#REF!+'[1]LBP NO. 2'!M852)</f>
        <v>#REF!</v>
      </c>
      <c r="M219" s="6" t="s">
        <v>434</v>
      </c>
    </row>
    <row r="220" spans="1:13" ht="13.5" thickBot="1" x14ac:dyDescent="0.25">
      <c r="B220" s="7" t="s">
        <v>368</v>
      </c>
      <c r="I220" s="46">
        <f>I218-I219</f>
        <v>5339557.6004999951</v>
      </c>
    </row>
    <row r="221" spans="1:13" ht="13.5" thickTop="1" x14ac:dyDescent="0.2">
      <c r="I221" s="41"/>
    </row>
    <row r="222" spans="1:13" x14ac:dyDescent="0.2">
      <c r="I222" s="41"/>
    </row>
    <row r="223" spans="1:13" x14ac:dyDescent="0.2">
      <c r="I223" s="41"/>
    </row>
    <row r="224" spans="1:13" x14ac:dyDescent="0.2">
      <c r="A224" s="7" t="s">
        <v>369</v>
      </c>
      <c r="I224" s="41"/>
    </row>
    <row r="225" spans="1:10" x14ac:dyDescent="0.2">
      <c r="I225" s="41"/>
    </row>
    <row r="226" spans="1:10" x14ac:dyDescent="0.2">
      <c r="A226" s="6" t="s">
        <v>370</v>
      </c>
      <c r="I226" s="41">
        <f>'PROPOSED BUDGET'!H46</f>
        <v>62956350.799999997</v>
      </c>
    </row>
    <row r="227" spans="1:10" x14ac:dyDescent="0.2">
      <c r="A227" s="6" t="s">
        <v>429</v>
      </c>
      <c r="C227" s="6" t="s">
        <v>378</v>
      </c>
      <c r="F227" s="6"/>
      <c r="H227" s="29"/>
      <c r="I227" s="50">
        <f>'LBP NO. 1'!N104</f>
        <v>1000000</v>
      </c>
    </row>
    <row r="228" spans="1:10" x14ac:dyDescent="0.2">
      <c r="A228" s="6"/>
      <c r="C228" s="104" t="s">
        <v>557</v>
      </c>
      <c r="F228" s="6"/>
      <c r="H228" s="29"/>
      <c r="I228" s="50">
        <f>'LBP NO. 1'!N106</f>
        <v>1000000</v>
      </c>
    </row>
    <row r="229" spans="1:10" x14ac:dyDescent="0.2">
      <c r="C229" s="52"/>
      <c r="D229" s="52"/>
      <c r="E229" s="52"/>
      <c r="F229" s="52"/>
      <c r="G229" s="52"/>
      <c r="H229" s="52"/>
    </row>
    <row r="230" spans="1:10" ht="13.5" thickBot="1" x14ac:dyDescent="0.25">
      <c r="A230" s="6" t="s">
        <v>371</v>
      </c>
      <c r="C230" s="52"/>
      <c r="D230" s="52"/>
      <c r="E230" s="52"/>
      <c r="F230" s="52"/>
      <c r="G230" s="52"/>
      <c r="H230" s="52"/>
      <c r="I230" s="45">
        <f>I226-I227-I228</f>
        <v>60956350.799999997</v>
      </c>
    </row>
    <row r="231" spans="1:10" ht="13.5" thickTop="1" x14ac:dyDescent="0.2">
      <c r="C231" s="52"/>
      <c r="D231" s="52"/>
      <c r="E231" s="52"/>
      <c r="F231" s="52"/>
      <c r="G231" s="52"/>
      <c r="H231" s="52"/>
      <c r="I231" s="41"/>
    </row>
    <row r="232" spans="1:10" x14ac:dyDescent="0.2">
      <c r="C232" s="52"/>
      <c r="D232" s="52"/>
      <c r="E232" s="52"/>
      <c r="F232" s="52"/>
      <c r="G232" s="52"/>
      <c r="H232" s="52"/>
      <c r="I232" s="41"/>
    </row>
    <row r="233" spans="1:10" x14ac:dyDescent="0.2">
      <c r="A233" s="1312" t="s">
        <v>1654</v>
      </c>
      <c r="B233" s="1312"/>
      <c r="C233" s="1312"/>
      <c r="D233" s="1312"/>
      <c r="E233" s="1312"/>
      <c r="F233" s="1312"/>
      <c r="G233" s="1312"/>
      <c r="H233" s="1312"/>
      <c r="I233" s="1312"/>
      <c r="J233" s="1312"/>
    </row>
    <row r="234" spans="1:10" x14ac:dyDescent="0.2">
      <c r="A234" s="1312" t="s">
        <v>364</v>
      </c>
      <c r="B234" s="1312"/>
      <c r="C234" s="1312"/>
      <c r="D234" s="1312"/>
      <c r="E234" s="1312"/>
      <c r="F234" s="1312"/>
      <c r="G234" s="1312"/>
      <c r="H234" s="1312"/>
      <c r="I234" s="1312"/>
      <c r="J234" s="1312"/>
    </row>
    <row r="235" spans="1:10" x14ac:dyDescent="0.2">
      <c r="A235" s="1312" t="s">
        <v>182</v>
      </c>
      <c r="B235" s="1312"/>
      <c r="C235" s="1312"/>
      <c r="D235" s="1312"/>
      <c r="E235" s="1312"/>
      <c r="F235" s="1312"/>
      <c r="G235" s="1312"/>
      <c r="H235" s="1312"/>
      <c r="I235" s="1312"/>
      <c r="J235" s="1312"/>
    </row>
    <row r="236" spans="1:10" x14ac:dyDescent="0.2">
      <c r="A236" s="1312" t="s">
        <v>10</v>
      </c>
      <c r="B236" s="1312"/>
      <c r="C236" s="1312"/>
      <c r="D236" s="1312"/>
      <c r="E236" s="1312"/>
      <c r="F236" s="1312"/>
      <c r="G236" s="1312"/>
      <c r="H236" s="1312"/>
      <c r="I236" s="1312"/>
      <c r="J236" s="1312"/>
    </row>
    <row r="237" spans="1:10" x14ac:dyDescent="0.2">
      <c r="I237" s="41"/>
    </row>
    <row r="239" spans="1:10" x14ac:dyDescent="0.2">
      <c r="A239" s="7" t="s">
        <v>372</v>
      </c>
    </row>
    <row r="241" spans="2:9" x14ac:dyDescent="0.2">
      <c r="B241" s="104" t="s">
        <v>533</v>
      </c>
      <c r="I241" s="53">
        <f>'LBP NO. 2'!M971</f>
        <v>3782865</v>
      </c>
    </row>
    <row r="242" spans="2:9" x14ac:dyDescent="0.2">
      <c r="B242" s="6" t="s">
        <v>435</v>
      </c>
      <c r="I242" s="53">
        <f>'LBP NO. 2'!M972</f>
        <v>1227480</v>
      </c>
    </row>
    <row r="243" spans="2:9" x14ac:dyDescent="0.2">
      <c r="B243" s="6" t="s">
        <v>535</v>
      </c>
      <c r="I243" s="53">
        <f>'LBP NO. 2'!M974</f>
        <v>816000</v>
      </c>
    </row>
    <row r="244" spans="2:9" x14ac:dyDescent="0.2">
      <c r="B244" s="6" t="s">
        <v>547</v>
      </c>
      <c r="I244" s="53">
        <f>'LBP NO. 2'!M975</f>
        <v>204000</v>
      </c>
    </row>
    <row r="245" spans="2:9" x14ac:dyDescent="0.2">
      <c r="B245" s="104" t="s">
        <v>957</v>
      </c>
      <c r="I245" s="53">
        <f>'LBP NO. 2'!M976</f>
        <v>19800</v>
      </c>
    </row>
    <row r="246" spans="2:9" x14ac:dyDescent="0.2">
      <c r="B246" s="104" t="s">
        <v>806</v>
      </c>
      <c r="I246" s="53">
        <f>'LBP NO. 2'!M977</f>
        <v>170000</v>
      </c>
    </row>
    <row r="247" spans="2:9" x14ac:dyDescent="0.2">
      <c r="B247" s="6" t="s">
        <v>549</v>
      </c>
      <c r="I247" s="53">
        <f>'LBP NO. 2'!M978</f>
        <v>15000</v>
      </c>
    </row>
    <row r="248" spans="2:9" x14ac:dyDescent="0.2">
      <c r="B248" s="6" t="s">
        <v>551</v>
      </c>
      <c r="I248" s="53">
        <f>'LBP NO. 2'!M980</f>
        <v>21336</v>
      </c>
    </row>
    <row r="249" spans="2:9" x14ac:dyDescent="0.2">
      <c r="B249" s="6" t="s">
        <v>373</v>
      </c>
      <c r="I249" s="53">
        <f>'LBP NO. 2'!M981</f>
        <v>70000</v>
      </c>
    </row>
    <row r="250" spans="2:9" x14ac:dyDescent="0.2">
      <c r="B250" s="6" t="s">
        <v>374</v>
      </c>
      <c r="I250" s="53">
        <f>'LBP NO. 2'!M982</f>
        <v>170000</v>
      </c>
    </row>
    <row r="251" spans="2:9" x14ac:dyDescent="0.2">
      <c r="B251" s="6" t="s">
        <v>816</v>
      </c>
      <c r="I251" s="53">
        <f>'LBP NO. 2'!M983</f>
        <v>416927</v>
      </c>
    </row>
    <row r="252" spans="2:9" x14ac:dyDescent="0.2">
      <c r="B252" s="6" t="s">
        <v>553</v>
      </c>
      <c r="I252" s="53">
        <f>'LBP NO. 2'!M984</f>
        <v>417831</v>
      </c>
    </row>
    <row r="253" spans="2:9" x14ac:dyDescent="0.2">
      <c r="B253" s="6" t="s">
        <v>669</v>
      </c>
      <c r="I253" s="53">
        <f>'LBP NO. 2'!M985</f>
        <v>604400</v>
      </c>
    </row>
    <row r="254" spans="2:9" x14ac:dyDescent="0.2">
      <c r="B254" s="6" t="s">
        <v>375</v>
      </c>
      <c r="I254" s="53">
        <f>'LBP NO. 2'!M986</f>
        <v>61200</v>
      </c>
    </row>
    <row r="255" spans="2:9" x14ac:dyDescent="0.2">
      <c r="B255" s="6" t="s">
        <v>376</v>
      </c>
      <c r="I255" s="53">
        <f>'LBP NO. 2'!M987</f>
        <v>111300</v>
      </c>
    </row>
    <row r="256" spans="2:9" x14ac:dyDescent="0.2">
      <c r="B256" s="6" t="s">
        <v>665</v>
      </c>
      <c r="I256" s="53">
        <f>'LBP NO. 2'!M988</f>
        <v>40800</v>
      </c>
    </row>
    <row r="257" spans="1:10" x14ac:dyDescent="0.2">
      <c r="B257" s="6" t="s">
        <v>378</v>
      </c>
      <c r="I257" s="619">
        <f>'LBP NO. 2'!M989</f>
        <v>0</v>
      </c>
    </row>
    <row r="258" spans="1:10" x14ac:dyDescent="0.2">
      <c r="B258" s="104" t="s">
        <v>557</v>
      </c>
      <c r="I258" s="54">
        <f>'LBP NO. 2'!M990</f>
        <v>0</v>
      </c>
    </row>
    <row r="259" spans="1:10" x14ac:dyDescent="0.2">
      <c r="A259" s="7" t="s">
        <v>377</v>
      </c>
      <c r="I259" s="41">
        <f>SUM(I241:I258)</f>
        <v>8148939</v>
      </c>
    </row>
    <row r="260" spans="1:10" x14ac:dyDescent="0.2">
      <c r="I260" s="41"/>
    </row>
    <row r="261" spans="1:10" x14ac:dyDescent="0.2">
      <c r="A261" s="7" t="s">
        <v>379</v>
      </c>
      <c r="I261" s="41"/>
    </row>
    <row r="262" spans="1:10" x14ac:dyDescent="0.2">
      <c r="I262" s="41"/>
    </row>
    <row r="263" spans="1:10" x14ac:dyDescent="0.2">
      <c r="B263" s="6" t="s">
        <v>380</v>
      </c>
      <c r="I263" s="41">
        <f>'LBP NO. 2'!M994</f>
        <v>44000</v>
      </c>
    </row>
    <row r="264" spans="1:10" x14ac:dyDescent="0.2">
      <c r="B264" s="6" t="s">
        <v>436</v>
      </c>
      <c r="I264" s="41">
        <f>'LBP NO. 2'!M995</f>
        <v>40000</v>
      </c>
    </row>
    <row r="265" spans="1:10" x14ac:dyDescent="0.2">
      <c r="B265" s="6" t="s">
        <v>384</v>
      </c>
      <c r="I265" s="41">
        <f>'LBP NO. 2'!M996</f>
        <v>330000</v>
      </c>
      <c r="J265" s="28"/>
    </row>
    <row r="266" spans="1:10" x14ac:dyDescent="0.2">
      <c r="B266" s="6" t="s">
        <v>383</v>
      </c>
      <c r="C266" s="6"/>
      <c r="I266" s="41">
        <f>'LBP NO. 2'!M997</f>
        <v>1900000</v>
      </c>
    </row>
    <row r="267" spans="1:10" x14ac:dyDescent="0.2">
      <c r="B267" s="6" t="s">
        <v>565</v>
      </c>
      <c r="C267" s="6"/>
      <c r="I267" s="41">
        <f>'LBP NO. 2'!M998</f>
        <v>12000</v>
      </c>
    </row>
    <row r="268" spans="1:10" x14ac:dyDescent="0.2">
      <c r="B268" s="6" t="s">
        <v>382</v>
      </c>
      <c r="C268" s="6"/>
      <c r="I268" s="41">
        <f>'LBP NO. 2'!M999</f>
        <v>714118</v>
      </c>
    </row>
    <row r="269" spans="1:10" x14ac:dyDescent="0.2">
      <c r="B269" s="104" t="s">
        <v>974</v>
      </c>
      <c r="C269" s="6"/>
      <c r="I269" s="41">
        <f>'LBP NO. 2'!M1000</f>
        <v>450000</v>
      </c>
    </row>
    <row r="270" spans="1:10" x14ac:dyDescent="0.2">
      <c r="B270" s="6" t="s">
        <v>950</v>
      </c>
      <c r="C270" s="6"/>
      <c r="I270" s="41">
        <f>'LBP NO. 2'!M1001</f>
        <v>40000</v>
      </c>
    </row>
    <row r="271" spans="1:10" x14ac:dyDescent="0.2">
      <c r="B271" s="6" t="s">
        <v>381</v>
      </c>
      <c r="C271" s="6"/>
      <c r="I271" s="41">
        <f>'LBP NO. 2'!M1002</f>
        <v>270000</v>
      </c>
    </row>
    <row r="272" spans="1:10" x14ac:dyDescent="0.2">
      <c r="B272" s="6" t="s">
        <v>572</v>
      </c>
      <c r="C272" s="6"/>
      <c r="I272" s="42">
        <f>'LBP NO. 2'!M1003</f>
        <v>0</v>
      </c>
    </row>
    <row r="273" spans="1:10" x14ac:dyDescent="0.2">
      <c r="A273" s="7" t="s">
        <v>282</v>
      </c>
      <c r="B273" s="6"/>
      <c r="I273" s="41">
        <f>SUM(I263:I272)</f>
        <v>3800118</v>
      </c>
    </row>
    <row r="274" spans="1:10" x14ac:dyDescent="0.2">
      <c r="I274" s="41"/>
    </row>
    <row r="275" spans="1:10" x14ac:dyDescent="0.2">
      <c r="A275" s="7" t="s">
        <v>385</v>
      </c>
      <c r="I275" s="41">
        <f>'LBP NO. 2'!M1011</f>
        <v>140000</v>
      </c>
      <c r="J275" s="41">
        <f>SUM(I275+I273+I259)</f>
        <v>12089057</v>
      </c>
    </row>
    <row r="276" spans="1:10" x14ac:dyDescent="0.2">
      <c r="I276" s="41"/>
    </row>
    <row r="277" spans="1:10" x14ac:dyDescent="0.2">
      <c r="F277" s="7" t="s">
        <v>386</v>
      </c>
      <c r="I277" s="41"/>
      <c r="J277" s="41">
        <f>J275</f>
        <v>12089057</v>
      </c>
    </row>
    <row r="278" spans="1:10" ht="13.5" thickBot="1" x14ac:dyDescent="0.25">
      <c r="F278" s="7" t="s">
        <v>43</v>
      </c>
      <c r="I278" s="41"/>
      <c r="J278" s="46">
        <f>J277</f>
        <v>12089057</v>
      </c>
    </row>
    <row r="279" spans="1:10" ht="13.5" thickTop="1" x14ac:dyDescent="0.2">
      <c r="I279" s="41"/>
      <c r="J279" s="41"/>
    </row>
    <row r="280" spans="1:10" x14ac:dyDescent="0.2">
      <c r="A280" s="7" t="s">
        <v>10</v>
      </c>
      <c r="I280" s="41"/>
      <c r="J280" s="41"/>
    </row>
    <row r="281" spans="1:10" x14ac:dyDescent="0.2">
      <c r="I281" s="41"/>
      <c r="J281" s="41"/>
    </row>
    <row r="282" spans="1:10" x14ac:dyDescent="0.2">
      <c r="A282" s="6" t="s">
        <v>275</v>
      </c>
      <c r="I282" s="41"/>
      <c r="J282" s="41">
        <f>I21</f>
        <v>12093000</v>
      </c>
    </row>
    <row r="283" spans="1:10" x14ac:dyDescent="0.2">
      <c r="A283" s="6" t="s">
        <v>366</v>
      </c>
      <c r="I283" s="41"/>
      <c r="J283" s="42">
        <f>I147</f>
        <v>12089057</v>
      </c>
    </row>
    <row r="284" spans="1:10" ht="13.5" thickBot="1" x14ac:dyDescent="0.25">
      <c r="A284" s="7" t="s">
        <v>20</v>
      </c>
      <c r="I284" s="41"/>
      <c r="J284" s="102">
        <f>J282-J283</f>
        <v>3943</v>
      </c>
    </row>
    <row r="285" spans="1:10" ht="13.5" thickTop="1" x14ac:dyDescent="0.2">
      <c r="I285" s="41"/>
    </row>
    <row r="286" spans="1:10" x14ac:dyDescent="0.2">
      <c r="I286" s="41"/>
    </row>
  </sheetData>
  <mergeCells count="12">
    <mergeCell ref="A236:J236"/>
    <mergeCell ref="A201:I201"/>
    <mergeCell ref="A202:I202"/>
    <mergeCell ref="A203:I203"/>
    <mergeCell ref="A204:I204"/>
    <mergeCell ref="A233:J233"/>
    <mergeCell ref="A235:J235"/>
    <mergeCell ref="A1:J1"/>
    <mergeCell ref="A2:J2"/>
    <mergeCell ref="A3:J3"/>
    <mergeCell ref="A7:J7"/>
    <mergeCell ref="A234:J234"/>
  </mergeCells>
  <printOptions horizontalCentered="1"/>
  <pageMargins left="0.5" right="0.5" top="0.75" bottom="0.5" header="0.3" footer="0.5"/>
  <pageSetup paperSize="256" scale="95" orientation="portrait" r:id="rId1"/>
  <headerFooter alignWithMargins="0">
    <oddFooter xml:space="preserve">&amp;C&amp;12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8"/>
  <sheetViews>
    <sheetView workbookViewId="0">
      <selection activeCell="F13" sqref="F13"/>
    </sheetView>
  </sheetViews>
  <sheetFormatPr defaultRowHeight="15" x14ac:dyDescent="0.2"/>
  <cols>
    <col min="1" max="1" width="2.7109375" style="960" customWidth="1"/>
    <col min="2" max="2" width="3.140625" style="960" customWidth="1"/>
    <col min="3" max="5" width="1.7109375" style="960" customWidth="1"/>
    <col min="6" max="6" width="33.140625" style="960" customWidth="1"/>
    <col min="7" max="7" width="4.85546875" style="960" hidden="1" customWidth="1"/>
    <col min="8" max="8" width="12" style="956" customWidth="1"/>
    <col min="9" max="9" width="14.85546875" style="956" customWidth="1"/>
    <col min="10" max="10" width="14.140625" style="956" customWidth="1"/>
    <col min="11" max="12" width="14.42578125" style="956" customWidth="1"/>
    <col min="13" max="13" width="14.140625" style="956" customWidth="1"/>
    <col min="14" max="15" width="9.140625" style="960"/>
    <col min="16" max="16" width="9.140625" style="960" customWidth="1"/>
    <col min="17" max="17" width="11.28515625" style="960" bestFit="1" customWidth="1"/>
    <col min="18" max="16384" width="9.140625" style="960"/>
  </cols>
  <sheetData>
    <row r="1" spans="1:13" s="956" customFormat="1" ht="18" customHeight="1" x14ac:dyDescent="0.25">
      <c r="A1" s="953"/>
      <c r="B1" s="954"/>
      <c r="C1" s="954"/>
      <c r="D1" s="954"/>
      <c r="E1" s="954"/>
      <c r="F1" s="954"/>
      <c r="G1" s="954"/>
      <c r="H1" s="954"/>
      <c r="I1" s="954"/>
      <c r="J1" s="954"/>
      <c r="K1" s="954"/>
      <c r="L1" s="954"/>
      <c r="M1" s="955"/>
    </row>
    <row r="2" spans="1:13" s="956" customFormat="1" ht="18" customHeight="1" x14ac:dyDescent="0.25">
      <c r="A2" s="1087" t="s">
        <v>21</v>
      </c>
      <c r="B2" s="1087"/>
      <c r="C2" s="1087"/>
      <c r="D2" s="1087"/>
      <c r="E2" s="1087"/>
      <c r="F2" s="1087"/>
      <c r="G2" s="1087"/>
      <c r="H2" s="1087"/>
      <c r="I2" s="1087"/>
      <c r="J2" s="1087"/>
      <c r="K2" s="1087"/>
      <c r="L2" s="1087"/>
      <c r="M2" s="1087"/>
    </row>
    <row r="3" spans="1:13" s="956" customFormat="1" ht="18" customHeight="1" x14ac:dyDescent="0.25">
      <c r="A3" s="1087" t="s">
        <v>364</v>
      </c>
      <c r="B3" s="1087"/>
      <c r="C3" s="1087"/>
      <c r="D3" s="1087"/>
      <c r="E3" s="1087"/>
      <c r="F3" s="1087"/>
      <c r="G3" s="1087"/>
      <c r="H3" s="1087"/>
      <c r="I3" s="1087"/>
      <c r="J3" s="1087"/>
      <c r="K3" s="1087"/>
      <c r="L3" s="1087"/>
      <c r="M3" s="1087"/>
    </row>
    <row r="4" spans="1:13" s="956" customFormat="1" ht="18" customHeight="1" x14ac:dyDescent="0.25">
      <c r="A4" s="957"/>
      <c r="B4" s="957"/>
      <c r="C4" s="957"/>
      <c r="D4" s="957"/>
      <c r="E4" s="957"/>
      <c r="F4" s="957"/>
      <c r="G4" s="957"/>
      <c r="H4" s="957"/>
      <c r="I4" s="957"/>
      <c r="J4" s="957"/>
      <c r="K4" s="957"/>
      <c r="L4" s="957"/>
      <c r="M4" s="957"/>
    </row>
    <row r="5" spans="1:13" s="956" customFormat="1" ht="18" customHeight="1" x14ac:dyDescent="0.25">
      <c r="A5" s="958" t="s">
        <v>817</v>
      </c>
      <c r="B5" s="957"/>
      <c r="C5" s="959"/>
      <c r="D5" s="957"/>
      <c r="E5" s="957"/>
      <c r="F5" s="957"/>
      <c r="G5" s="957"/>
      <c r="H5" s="957"/>
      <c r="I5" s="957"/>
      <c r="J5" s="957"/>
      <c r="K5" s="957"/>
      <c r="L5" s="957"/>
      <c r="M5" s="957"/>
    </row>
    <row r="6" spans="1:13" ht="18" customHeight="1" thickBot="1" x14ac:dyDescent="0.25">
      <c r="A6" s="1088"/>
      <c r="B6" s="1088"/>
      <c r="C6" s="1088"/>
      <c r="D6" s="1088"/>
      <c r="E6" s="1088"/>
      <c r="F6" s="1088"/>
      <c r="G6" s="1088"/>
      <c r="H6" s="1088"/>
      <c r="I6" s="1088"/>
      <c r="J6" s="1088"/>
      <c r="K6" s="1088"/>
      <c r="L6" s="1088"/>
      <c r="M6" s="1088"/>
    </row>
    <row r="7" spans="1:13" ht="18" customHeight="1" x14ac:dyDescent="0.2">
      <c r="A7" s="961"/>
      <c r="B7" s="962"/>
      <c r="C7" s="962"/>
      <c r="D7" s="962"/>
      <c r="E7" s="962"/>
      <c r="F7" s="963"/>
      <c r="G7" s="964"/>
      <c r="H7" s="965"/>
      <c r="I7" s="965"/>
      <c r="J7" s="1089" t="s">
        <v>633</v>
      </c>
      <c r="K7" s="1090"/>
      <c r="L7" s="1091"/>
      <c r="M7" s="966"/>
    </row>
    <row r="8" spans="1:13" ht="18" customHeight="1" x14ac:dyDescent="0.2">
      <c r="A8" s="1092"/>
      <c r="B8" s="1093"/>
      <c r="C8" s="1093"/>
      <c r="D8" s="1093"/>
      <c r="E8" s="1093"/>
      <c r="F8" s="1094"/>
      <c r="G8" s="967"/>
      <c r="H8" s="968"/>
      <c r="I8" s="968" t="s">
        <v>6</v>
      </c>
      <c r="J8" s="968" t="s">
        <v>580</v>
      </c>
      <c r="K8" s="968" t="s">
        <v>581</v>
      </c>
      <c r="L8" s="968"/>
      <c r="M8" s="969" t="s">
        <v>7</v>
      </c>
    </row>
    <row r="9" spans="1:13" ht="18" customHeight="1" x14ac:dyDescent="0.25">
      <c r="A9" s="1092" t="s">
        <v>22</v>
      </c>
      <c r="B9" s="1093"/>
      <c r="C9" s="1093"/>
      <c r="D9" s="1093"/>
      <c r="E9" s="1093"/>
      <c r="F9" s="1094"/>
      <c r="G9" s="970"/>
      <c r="H9" s="971" t="s">
        <v>634</v>
      </c>
      <c r="I9" s="968" t="s">
        <v>579</v>
      </c>
      <c r="J9" s="968" t="s">
        <v>579</v>
      </c>
      <c r="K9" s="968" t="s">
        <v>582</v>
      </c>
      <c r="L9" s="968" t="s">
        <v>15</v>
      </c>
      <c r="M9" s="969" t="s">
        <v>584</v>
      </c>
    </row>
    <row r="10" spans="1:13" ht="18" customHeight="1" x14ac:dyDescent="0.2">
      <c r="A10" s="972"/>
      <c r="B10" s="973"/>
      <c r="C10" s="973"/>
      <c r="D10" s="973"/>
      <c r="E10" s="973"/>
      <c r="F10" s="974"/>
      <c r="G10" s="970"/>
      <c r="H10" s="968"/>
      <c r="I10" s="968">
        <v>2019</v>
      </c>
      <c r="J10" s="968">
        <v>2020</v>
      </c>
      <c r="K10" s="968">
        <v>2020</v>
      </c>
      <c r="L10" s="968">
        <v>2020</v>
      </c>
      <c r="M10" s="969">
        <v>2021</v>
      </c>
    </row>
    <row r="11" spans="1:13" ht="18" customHeight="1" thickBot="1" x14ac:dyDescent="0.25">
      <c r="A11" s="1096"/>
      <c r="B11" s="1097"/>
      <c r="C11" s="1097"/>
      <c r="D11" s="1097"/>
      <c r="E11" s="1097"/>
      <c r="F11" s="1098"/>
      <c r="G11" s="975"/>
      <c r="H11" s="976"/>
      <c r="I11" s="976"/>
      <c r="J11" s="976"/>
      <c r="K11" s="976"/>
      <c r="L11" s="976"/>
      <c r="M11" s="977"/>
    </row>
    <row r="12" spans="1:13" ht="18" customHeight="1" x14ac:dyDescent="0.2">
      <c r="A12" s="978"/>
      <c r="B12" s="979" t="s">
        <v>372</v>
      </c>
      <c r="C12" s="980"/>
      <c r="D12" s="979"/>
      <c r="E12" s="979"/>
      <c r="F12" s="981"/>
      <c r="G12" s="982"/>
      <c r="H12" s="983"/>
      <c r="I12" s="984"/>
      <c r="J12" s="985"/>
      <c r="K12" s="985"/>
      <c r="L12" s="985"/>
      <c r="M12" s="985"/>
    </row>
    <row r="13" spans="1:13" ht="18" customHeight="1" x14ac:dyDescent="0.25">
      <c r="A13" s="986"/>
      <c r="B13" s="987"/>
      <c r="C13" s="987" t="s">
        <v>532</v>
      </c>
      <c r="D13" s="987"/>
      <c r="E13" s="987"/>
      <c r="F13" s="988"/>
      <c r="G13" s="989"/>
      <c r="H13" s="990"/>
      <c r="I13" s="991"/>
      <c r="J13" s="992"/>
      <c r="K13" s="992"/>
      <c r="L13" s="992"/>
      <c r="M13" s="992"/>
    </row>
    <row r="14" spans="1:13" ht="18" customHeight="1" x14ac:dyDescent="0.25">
      <c r="A14" s="986"/>
      <c r="B14" s="987"/>
      <c r="C14" s="987"/>
      <c r="D14" s="987" t="s">
        <v>533</v>
      </c>
      <c r="E14" s="987"/>
      <c r="F14" s="988"/>
      <c r="G14" s="989" t="s">
        <v>603</v>
      </c>
      <c r="H14" s="993" t="s">
        <v>698</v>
      </c>
      <c r="I14" s="994">
        <v>2959917.84</v>
      </c>
      <c r="J14" s="995">
        <v>1601728.6</v>
      </c>
      <c r="K14" s="995">
        <f>3251607-J14</f>
        <v>1649878.4</v>
      </c>
      <c r="L14" s="995">
        <f>SUM(K14+J14)</f>
        <v>3251607</v>
      </c>
      <c r="M14" s="995">
        <v>3374658</v>
      </c>
    </row>
    <row r="15" spans="1:13" ht="18" customHeight="1" x14ac:dyDescent="0.25">
      <c r="A15" s="986"/>
      <c r="B15" s="987"/>
      <c r="C15" s="987" t="s">
        <v>534</v>
      </c>
      <c r="D15" s="987"/>
      <c r="E15" s="987"/>
      <c r="F15" s="988"/>
      <c r="G15" s="989"/>
      <c r="H15" s="996"/>
      <c r="I15" s="994"/>
      <c r="J15" s="995"/>
      <c r="K15" s="995"/>
      <c r="L15" s="995"/>
      <c r="M15" s="995"/>
    </row>
    <row r="16" spans="1:13" ht="18" customHeight="1" x14ac:dyDescent="0.25">
      <c r="A16" s="986"/>
      <c r="B16" s="987"/>
      <c r="C16" s="987"/>
      <c r="D16" s="987" t="s">
        <v>535</v>
      </c>
      <c r="E16" s="987"/>
      <c r="F16" s="988"/>
      <c r="G16" s="989" t="s">
        <v>604</v>
      </c>
      <c r="H16" s="993" t="s">
        <v>699</v>
      </c>
      <c r="I16" s="994">
        <v>249818.18</v>
      </c>
      <c r="J16" s="995">
        <v>130000</v>
      </c>
      <c r="K16" s="995">
        <f>264000-J16</f>
        <v>134000</v>
      </c>
      <c r="L16" s="995">
        <f t="shared" ref="L16:L33" si="0">SUM(K16+J16)</f>
        <v>264000</v>
      </c>
      <c r="M16" s="995">
        <v>264000</v>
      </c>
    </row>
    <row r="17" spans="1:13" ht="18" customHeight="1" x14ac:dyDescent="0.25">
      <c r="A17" s="986"/>
      <c r="B17" s="987"/>
      <c r="C17" s="987"/>
      <c r="D17" s="987" t="s">
        <v>546</v>
      </c>
      <c r="E17" s="987"/>
      <c r="F17" s="988"/>
      <c r="G17" s="989" t="s">
        <v>605</v>
      </c>
      <c r="H17" s="993" t="s">
        <v>700</v>
      </c>
      <c r="I17" s="994">
        <v>91800</v>
      </c>
      <c r="J17" s="995">
        <v>45900</v>
      </c>
      <c r="K17" s="995">
        <f>91800-J17</f>
        <v>45900</v>
      </c>
      <c r="L17" s="995">
        <f t="shared" si="0"/>
        <v>91800</v>
      </c>
      <c r="M17" s="995">
        <v>91800</v>
      </c>
    </row>
    <row r="18" spans="1:13" ht="18" customHeight="1" x14ac:dyDescent="0.25">
      <c r="A18" s="986"/>
      <c r="B18" s="987"/>
      <c r="C18" s="987"/>
      <c r="D18" s="987" t="s">
        <v>545</v>
      </c>
      <c r="E18" s="987"/>
      <c r="F18" s="988"/>
      <c r="G18" s="989" t="s">
        <v>606</v>
      </c>
      <c r="H18" s="993" t="s">
        <v>701</v>
      </c>
      <c r="I18" s="994">
        <v>3129.55</v>
      </c>
      <c r="J18" s="995">
        <v>0</v>
      </c>
      <c r="K18" s="995">
        <f>91800-J18</f>
        <v>91800</v>
      </c>
      <c r="L18" s="995">
        <f t="shared" si="0"/>
        <v>91800</v>
      </c>
      <c r="M18" s="995">
        <v>91800</v>
      </c>
    </row>
    <row r="19" spans="1:13" ht="18" customHeight="1" x14ac:dyDescent="0.25">
      <c r="A19" s="986"/>
      <c r="B19" s="987"/>
      <c r="C19" s="987"/>
      <c r="D19" s="987" t="s">
        <v>547</v>
      </c>
      <c r="E19" s="987"/>
      <c r="F19" s="988"/>
      <c r="G19" s="989" t="s">
        <v>607</v>
      </c>
      <c r="H19" s="993" t="s">
        <v>702</v>
      </c>
      <c r="I19" s="994">
        <v>66000</v>
      </c>
      <c r="J19" s="995">
        <v>60000</v>
      </c>
      <c r="K19" s="995">
        <f>66000-J19</f>
        <v>6000</v>
      </c>
      <c r="L19" s="995">
        <f t="shared" si="0"/>
        <v>66000</v>
      </c>
      <c r="M19" s="995">
        <v>66000</v>
      </c>
    </row>
    <row r="20" spans="1:13" ht="18" customHeight="1" x14ac:dyDescent="0.25">
      <c r="A20" s="986"/>
      <c r="B20" s="987"/>
      <c r="C20" s="987"/>
      <c r="D20" s="987" t="s">
        <v>696</v>
      </c>
      <c r="E20" s="987"/>
      <c r="F20" s="988"/>
      <c r="G20" s="989" t="s">
        <v>609</v>
      </c>
      <c r="H20" s="993" t="s">
        <v>703</v>
      </c>
      <c r="I20" s="994">
        <v>50000</v>
      </c>
      <c r="J20" s="995">
        <v>0</v>
      </c>
      <c r="K20" s="995">
        <f>55000-J20</f>
        <v>55000</v>
      </c>
      <c r="L20" s="995">
        <f t="shared" si="0"/>
        <v>55000</v>
      </c>
      <c r="M20" s="995">
        <v>55000</v>
      </c>
    </row>
    <row r="21" spans="1:13" ht="18" customHeight="1" x14ac:dyDescent="0.25">
      <c r="A21" s="986"/>
      <c r="B21" s="987"/>
      <c r="C21" s="987"/>
      <c r="D21" s="987" t="s">
        <v>549</v>
      </c>
      <c r="E21" s="987"/>
      <c r="F21" s="988"/>
      <c r="G21" s="989" t="s">
        <v>440</v>
      </c>
      <c r="H21" s="993" t="s">
        <v>704</v>
      </c>
      <c r="I21" s="994">
        <v>0</v>
      </c>
      <c r="J21" s="995">
        <v>0</v>
      </c>
      <c r="K21" s="995">
        <f>5000-J21</f>
        <v>5000</v>
      </c>
      <c r="L21" s="995">
        <f t="shared" si="0"/>
        <v>5000</v>
      </c>
      <c r="M21" s="995">
        <v>0</v>
      </c>
    </row>
    <row r="22" spans="1:13" ht="18" customHeight="1" x14ac:dyDescent="0.25">
      <c r="A22" s="986"/>
      <c r="B22" s="987"/>
      <c r="C22" s="987"/>
      <c r="D22" s="987" t="s">
        <v>1562</v>
      </c>
      <c r="E22" s="987"/>
      <c r="F22" s="988"/>
      <c r="G22" s="989"/>
      <c r="H22" s="993" t="s">
        <v>704</v>
      </c>
      <c r="I22" s="994">
        <v>126514.9</v>
      </c>
      <c r="J22" s="995">
        <v>137915.28</v>
      </c>
      <c r="K22" s="995">
        <f>137915.28-J22</f>
        <v>0</v>
      </c>
      <c r="L22" s="995">
        <f t="shared" si="0"/>
        <v>137915.28</v>
      </c>
      <c r="M22" s="995">
        <v>0</v>
      </c>
    </row>
    <row r="23" spans="1:13" ht="18" customHeight="1" x14ac:dyDescent="0.25">
      <c r="A23" s="986"/>
      <c r="B23" s="987"/>
      <c r="C23" s="987"/>
      <c r="D23" s="987" t="s">
        <v>552</v>
      </c>
      <c r="E23" s="987"/>
      <c r="F23" s="988"/>
      <c r="G23" s="989" t="s">
        <v>612</v>
      </c>
      <c r="H23" s="993" t="s">
        <v>705</v>
      </c>
      <c r="I23" s="994">
        <v>50000</v>
      </c>
      <c r="J23" s="995">
        <v>0</v>
      </c>
      <c r="K23" s="995">
        <f>55000-J23</f>
        <v>55000</v>
      </c>
      <c r="L23" s="995">
        <f t="shared" si="0"/>
        <v>55000</v>
      </c>
      <c r="M23" s="995">
        <v>55000</v>
      </c>
    </row>
    <row r="24" spans="1:13" ht="18" customHeight="1" x14ac:dyDescent="0.25">
      <c r="A24" s="986"/>
      <c r="B24" s="987"/>
      <c r="C24" s="987"/>
      <c r="D24" s="987" t="s">
        <v>816</v>
      </c>
      <c r="E24" s="987"/>
      <c r="F24" s="987"/>
      <c r="G24" s="997" t="s">
        <v>440</v>
      </c>
      <c r="H24" s="993" t="s">
        <v>704</v>
      </c>
      <c r="I24" s="994">
        <v>130534</v>
      </c>
      <c r="J24" s="995">
        <v>270497</v>
      </c>
      <c r="K24" s="995">
        <f>270750-J24</f>
        <v>253</v>
      </c>
      <c r="L24" s="995">
        <f t="shared" si="0"/>
        <v>270750</v>
      </c>
      <c r="M24" s="995">
        <v>281077</v>
      </c>
    </row>
    <row r="25" spans="1:13" ht="18" customHeight="1" x14ac:dyDescent="0.25">
      <c r="A25" s="986"/>
      <c r="B25" s="987"/>
      <c r="C25" s="987"/>
      <c r="D25" s="987" t="s">
        <v>551</v>
      </c>
      <c r="E25" s="987"/>
      <c r="F25" s="988"/>
      <c r="G25" s="997" t="s">
        <v>610</v>
      </c>
      <c r="H25" s="993" t="s">
        <v>720</v>
      </c>
      <c r="I25" s="994"/>
      <c r="J25" s="995">
        <v>499958.74</v>
      </c>
      <c r="K25" s="995">
        <f>500000-J25</f>
        <v>41.260000000009313</v>
      </c>
      <c r="L25" s="995">
        <f t="shared" si="0"/>
        <v>500000</v>
      </c>
      <c r="M25" s="995">
        <v>0</v>
      </c>
    </row>
    <row r="26" spans="1:13" ht="18" customHeight="1" x14ac:dyDescent="0.25">
      <c r="A26" s="986"/>
      <c r="B26" s="987"/>
      <c r="C26" s="987"/>
      <c r="D26" s="987" t="s">
        <v>553</v>
      </c>
      <c r="E26" s="987"/>
      <c r="F26" s="988"/>
      <c r="G26" s="989" t="s">
        <v>613</v>
      </c>
      <c r="H26" s="993" t="s">
        <v>706</v>
      </c>
      <c r="I26" s="994">
        <v>242043</v>
      </c>
      <c r="J26" s="995">
        <v>0</v>
      </c>
      <c r="K26" s="995">
        <f>271158-J26</f>
        <v>271158</v>
      </c>
      <c r="L26" s="995">
        <f t="shared" si="0"/>
        <v>271158</v>
      </c>
      <c r="M26" s="995">
        <v>281319</v>
      </c>
    </row>
    <row r="27" spans="1:13" ht="18" customHeight="1" x14ac:dyDescent="0.25">
      <c r="A27" s="986"/>
      <c r="B27" s="987"/>
      <c r="C27" s="987"/>
      <c r="D27" s="987" t="s">
        <v>669</v>
      </c>
      <c r="E27" s="987"/>
      <c r="F27" s="988"/>
      <c r="G27" s="989" t="s">
        <v>614</v>
      </c>
      <c r="H27" s="993" t="s">
        <v>707</v>
      </c>
      <c r="I27" s="994">
        <f>296031.35+75714.6</f>
        <v>371745.94999999995</v>
      </c>
      <c r="J27" s="995">
        <v>149769</v>
      </c>
      <c r="K27" s="995">
        <f>391500-J27</f>
        <v>241731</v>
      </c>
      <c r="L27" s="995">
        <f t="shared" si="0"/>
        <v>391500</v>
      </c>
      <c r="M27" s="995">
        <v>410000</v>
      </c>
    </row>
    <row r="28" spans="1:13" ht="18" customHeight="1" x14ac:dyDescent="0.25">
      <c r="A28" s="986"/>
      <c r="B28" s="987"/>
      <c r="C28" s="987"/>
      <c r="D28" s="987" t="s">
        <v>554</v>
      </c>
      <c r="E28" s="987"/>
      <c r="F28" s="988"/>
      <c r="G28" s="989" t="s">
        <v>615</v>
      </c>
      <c r="H28" s="993" t="s">
        <v>708</v>
      </c>
      <c r="I28" s="994">
        <v>12400</v>
      </c>
      <c r="J28" s="995">
        <v>5400</v>
      </c>
      <c r="K28" s="995">
        <f>13200-J28</f>
        <v>7800</v>
      </c>
      <c r="L28" s="995">
        <f t="shared" si="0"/>
        <v>13200</v>
      </c>
      <c r="M28" s="995">
        <v>19800</v>
      </c>
    </row>
    <row r="29" spans="1:13" ht="18" customHeight="1" x14ac:dyDescent="0.25">
      <c r="A29" s="986"/>
      <c r="B29" s="987"/>
      <c r="C29" s="987"/>
      <c r="D29" s="987" t="s">
        <v>555</v>
      </c>
      <c r="E29" s="987"/>
      <c r="F29" s="988"/>
      <c r="G29" s="989" t="s">
        <v>616</v>
      </c>
      <c r="H29" s="993" t="s">
        <v>709</v>
      </c>
      <c r="I29" s="994">
        <v>29933.75</v>
      </c>
      <c r="J29" s="995">
        <v>15930</v>
      </c>
      <c r="K29" s="995">
        <f>50000-J29</f>
        <v>34070</v>
      </c>
      <c r="L29" s="995">
        <f t="shared" si="0"/>
        <v>50000</v>
      </c>
      <c r="M29" s="995">
        <v>62000</v>
      </c>
    </row>
    <row r="30" spans="1:13" ht="18" customHeight="1" x14ac:dyDescent="0.25">
      <c r="A30" s="986"/>
      <c r="B30" s="987"/>
      <c r="C30" s="987"/>
      <c r="D30" s="987" t="s">
        <v>665</v>
      </c>
      <c r="E30" s="987"/>
      <c r="F30" s="988"/>
      <c r="G30" s="989" t="s">
        <v>617</v>
      </c>
      <c r="H30" s="993" t="s">
        <v>710</v>
      </c>
      <c r="I30" s="994">
        <f>10500+2700</f>
        <v>13200</v>
      </c>
      <c r="J30" s="995">
        <v>5300</v>
      </c>
      <c r="K30" s="995">
        <f>13200-J30</f>
        <v>7900</v>
      </c>
      <c r="L30" s="995">
        <f t="shared" si="0"/>
        <v>13200</v>
      </c>
      <c r="M30" s="995">
        <v>13200</v>
      </c>
    </row>
    <row r="31" spans="1:13" ht="18" customHeight="1" x14ac:dyDescent="0.25">
      <c r="A31" s="986"/>
      <c r="B31" s="987"/>
      <c r="C31" s="987"/>
      <c r="D31" s="987" t="s">
        <v>378</v>
      </c>
      <c r="E31" s="987"/>
      <c r="F31" s="988"/>
      <c r="G31" s="989" t="s">
        <v>618</v>
      </c>
      <c r="H31" s="993" t="s">
        <v>711</v>
      </c>
      <c r="I31" s="994">
        <f>351655.36</f>
        <v>351655.36</v>
      </c>
      <c r="J31" s="995">
        <v>0</v>
      </c>
      <c r="K31" s="995">
        <f>0-J31</f>
        <v>0</v>
      </c>
      <c r="L31" s="995">
        <f t="shared" si="0"/>
        <v>0</v>
      </c>
      <c r="M31" s="995">
        <v>1000000</v>
      </c>
    </row>
    <row r="32" spans="1:13" ht="18" customHeight="1" x14ac:dyDescent="0.25">
      <c r="A32" s="986"/>
      <c r="B32" s="987"/>
      <c r="C32" s="987"/>
      <c r="D32" s="987" t="s">
        <v>557</v>
      </c>
      <c r="E32" s="987"/>
      <c r="F32" s="988"/>
      <c r="G32" s="989" t="s">
        <v>403</v>
      </c>
      <c r="H32" s="993" t="s">
        <v>722</v>
      </c>
      <c r="I32" s="994">
        <v>920348.48</v>
      </c>
      <c r="J32" s="995">
        <v>254578.66</v>
      </c>
      <c r="K32" s="995">
        <f>292157.39-J32</f>
        <v>37578.73000000001</v>
      </c>
      <c r="L32" s="995">
        <f t="shared" si="0"/>
        <v>292157.39</v>
      </c>
      <c r="M32" s="995">
        <v>1000000</v>
      </c>
    </row>
    <row r="33" spans="1:14" ht="18" customHeight="1" x14ac:dyDescent="0.25">
      <c r="A33" s="986"/>
      <c r="B33" s="987"/>
      <c r="C33" s="987"/>
      <c r="D33" s="987" t="s">
        <v>1563</v>
      </c>
      <c r="E33" s="987"/>
      <c r="F33" s="988"/>
      <c r="G33" s="989"/>
      <c r="H33" s="993" t="s">
        <v>722</v>
      </c>
      <c r="I33" s="994">
        <v>230000</v>
      </c>
      <c r="J33" s="995">
        <v>0</v>
      </c>
      <c r="K33" s="995">
        <v>0</v>
      </c>
      <c r="L33" s="995">
        <f t="shared" si="0"/>
        <v>0</v>
      </c>
      <c r="M33" s="995">
        <v>0</v>
      </c>
    </row>
    <row r="34" spans="1:14" s="1003" customFormat="1" ht="18" customHeight="1" x14ac:dyDescent="0.25">
      <c r="A34" s="998"/>
      <c r="B34" s="999"/>
      <c r="C34" s="999"/>
      <c r="D34" s="999" t="s">
        <v>377</v>
      </c>
      <c r="E34" s="999"/>
      <c r="F34" s="1000"/>
      <c r="G34" s="1001"/>
      <c r="H34" s="990"/>
      <c r="I34" s="1002">
        <f>SUM(I14:I33)</f>
        <v>5899041.0099999998</v>
      </c>
      <c r="J34" s="1002">
        <f>SUM(J14:J33)</f>
        <v>3176977.2800000003</v>
      </c>
      <c r="K34" s="1002">
        <f>SUM(K14:K33)</f>
        <v>2643110.39</v>
      </c>
      <c r="L34" s="1002">
        <f>SUM(L14:L33)</f>
        <v>5820087.669999999</v>
      </c>
      <c r="M34" s="1002">
        <f>SUM(M14:M33)</f>
        <v>7065654</v>
      </c>
    </row>
    <row r="35" spans="1:14" ht="18" customHeight="1" x14ac:dyDescent="0.25">
      <c r="A35" s="986"/>
      <c r="B35" s="987" t="s">
        <v>558</v>
      </c>
      <c r="C35" s="987"/>
      <c r="D35" s="987"/>
      <c r="E35" s="987"/>
      <c r="F35" s="988"/>
      <c r="G35" s="989"/>
      <c r="H35" s="996"/>
      <c r="I35" s="994"/>
      <c r="J35" s="995"/>
      <c r="K35" s="995"/>
      <c r="L35" s="995"/>
      <c r="M35" s="995"/>
    </row>
    <row r="36" spans="1:14" ht="18" customHeight="1" x14ac:dyDescent="0.25">
      <c r="A36" s="986"/>
      <c r="B36" s="987"/>
      <c r="C36" s="987"/>
      <c r="D36" s="987" t="s">
        <v>559</v>
      </c>
      <c r="E36" s="987"/>
      <c r="F36" s="988"/>
      <c r="G36" s="989" t="s">
        <v>390</v>
      </c>
      <c r="H36" s="993" t="s">
        <v>712</v>
      </c>
      <c r="I36" s="994">
        <f>521937.83+7050</f>
        <v>528987.83000000007</v>
      </c>
      <c r="J36" s="995">
        <v>190196</v>
      </c>
      <c r="K36" s="995">
        <f>650000-J36</f>
        <v>459804</v>
      </c>
      <c r="L36" s="995">
        <f t="shared" ref="L36:L43" si="1">SUM(K36+J36)</f>
        <v>650000</v>
      </c>
      <c r="M36" s="995">
        <f>650000-18000</f>
        <v>632000</v>
      </c>
    </row>
    <row r="37" spans="1:14" ht="18" customHeight="1" x14ac:dyDescent="0.25">
      <c r="A37" s="986"/>
      <c r="B37" s="987"/>
      <c r="C37" s="987"/>
      <c r="D37" s="987" t="s">
        <v>436</v>
      </c>
      <c r="E37" s="987"/>
      <c r="F37" s="988"/>
      <c r="G37" s="989" t="s">
        <v>391</v>
      </c>
      <c r="H37" s="993" t="s">
        <v>713</v>
      </c>
      <c r="I37" s="994">
        <f>281310+3300</f>
        <v>284610</v>
      </c>
      <c r="J37" s="995">
        <v>42050</v>
      </c>
      <c r="K37" s="995">
        <f>450000-J37</f>
        <v>407950</v>
      </c>
      <c r="L37" s="995">
        <f t="shared" si="1"/>
        <v>450000</v>
      </c>
      <c r="M37" s="995">
        <v>450000</v>
      </c>
    </row>
    <row r="38" spans="1:14" ht="18" customHeight="1" x14ac:dyDescent="0.25">
      <c r="A38" s="986"/>
      <c r="B38" s="987"/>
      <c r="C38" s="987"/>
      <c r="D38" s="987" t="s">
        <v>384</v>
      </c>
      <c r="E38" s="987"/>
      <c r="F38" s="988"/>
      <c r="G38" s="989" t="s">
        <v>393</v>
      </c>
      <c r="H38" s="993" t="s">
        <v>714</v>
      </c>
      <c r="I38" s="994">
        <f>1004510.4+99820</f>
        <v>1104330.3999999999</v>
      </c>
      <c r="J38" s="995">
        <v>506722.75</v>
      </c>
      <c r="K38" s="995">
        <f>1250000-J38</f>
        <v>743277.25</v>
      </c>
      <c r="L38" s="995">
        <f t="shared" si="1"/>
        <v>1250000</v>
      </c>
      <c r="M38" s="995">
        <v>1250000</v>
      </c>
      <c r="N38" s="1004"/>
    </row>
    <row r="39" spans="1:14" ht="18" customHeight="1" x14ac:dyDescent="0.25">
      <c r="A39" s="986"/>
      <c r="B39" s="987"/>
      <c r="C39" s="987"/>
      <c r="D39" s="987" t="s">
        <v>563</v>
      </c>
      <c r="E39" s="987"/>
      <c r="F39" s="988"/>
      <c r="G39" s="989" t="s">
        <v>622</v>
      </c>
      <c r="H39" s="993" t="s">
        <v>715</v>
      </c>
      <c r="I39" s="994">
        <v>0</v>
      </c>
      <c r="J39" s="995">
        <v>0</v>
      </c>
      <c r="K39" s="995">
        <f>10000-J39</f>
        <v>10000</v>
      </c>
      <c r="L39" s="995">
        <f t="shared" si="1"/>
        <v>10000</v>
      </c>
      <c r="M39" s="995">
        <v>10000</v>
      </c>
    </row>
    <row r="40" spans="1:14" ht="18" customHeight="1" x14ac:dyDescent="0.25">
      <c r="A40" s="986"/>
      <c r="B40" s="987"/>
      <c r="C40" s="987"/>
      <c r="D40" s="987" t="s">
        <v>565</v>
      </c>
      <c r="E40" s="987"/>
      <c r="F40" s="988"/>
      <c r="G40" s="989" t="s">
        <v>394</v>
      </c>
      <c r="H40" s="993" t="s">
        <v>716</v>
      </c>
      <c r="I40" s="994">
        <v>40000</v>
      </c>
      <c r="J40" s="995">
        <v>21000</v>
      </c>
      <c r="K40" s="995">
        <f>42000-J40</f>
        <v>21000</v>
      </c>
      <c r="L40" s="995">
        <f t="shared" si="1"/>
        <v>42000</v>
      </c>
      <c r="M40" s="995">
        <f>54000+18000</f>
        <v>72000</v>
      </c>
    </row>
    <row r="41" spans="1:14" ht="18" customHeight="1" x14ac:dyDescent="0.25">
      <c r="A41" s="986"/>
      <c r="B41" s="987"/>
      <c r="C41" s="987"/>
      <c r="D41" s="987" t="s">
        <v>945</v>
      </c>
      <c r="E41" s="987"/>
      <c r="F41" s="988"/>
      <c r="G41" s="989" t="s">
        <v>395</v>
      </c>
      <c r="H41" s="993" t="s">
        <v>717</v>
      </c>
      <c r="I41" s="994">
        <f>12250+34190</f>
        <v>46440</v>
      </c>
      <c r="J41" s="995">
        <v>3550</v>
      </c>
      <c r="K41" s="995">
        <f>300000-J41</f>
        <v>296450</v>
      </c>
      <c r="L41" s="995">
        <f t="shared" si="1"/>
        <v>300000</v>
      </c>
      <c r="M41" s="995">
        <v>300000</v>
      </c>
    </row>
    <row r="42" spans="1:14" ht="18" customHeight="1" x14ac:dyDescent="0.25">
      <c r="A42" s="986"/>
      <c r="B42" s="987"/>
      <c r="C42" s="987"/>
      <c r="D42" s="987" t="s">
        <v>569</v>
      </c>
      <c r="E42" s="987"/>
      <c r="F42" s="988"/>
      <c r="G42" s="989" t="s">
        <v>627</v>
      </c>
      <c r="H42" s="993" t="s">
        <v>730</v>
      </c>
      <c r="I42" s="994">
        <f>22800+30000</f>
        <v>52800</v>
      </c>
      <c r="J42" s="995">
        <v>0</v>
      </c>
      <c r="K42" s="995">
        <f>61036-J42</f>
        <v>61036</v>
      </c>
      <c r="L42" s="995">
        <f t="shared" si="1"/>
        <v>61036</v>
      </c>
      <c r="M42" s="995">
        <v>69366</v>
      </c>
    </row>
    <row r="43" spans="1:14" ht="18" customHeight="1" x14ac:dyDescent="0.25">
      <c r="A43" s="986"/>
      <c r="B43" s="987"/>
      <c r="C43" s="987"/>
      <c r="D43" s="987" t="s">
        <v>572</v>
      </c>
      <c r="E43" s="987"/>
      <c r="F43" s="988"/>
      <c r="G43" s="989" t="s">
        <v>396</v>
      </c>
      <c r="H43" s="993" t="s">
        <v>718</v>
      </c>
      <c r="I43" s="994">
        <f>806247</f>
        <v>806247</v>
      </c>
      <c r="J43" s="995">
        <v>135944.6</v>
      </c>
      <c r="K43" s="995">
        <f>250000-J43</f>
        <v>114055.4</v>
      </c>
      <c r="L43" s="995">
        <f t="shared" si="1"/>
        <v>250000</v>
      </c>
      <c r="M43" s="995">
        <v>250000</v>
      </c>
    </row>
    <row r="44" spans="1:14" s="1003" customFormat="1" ht="18" customHeight="1" x14ac:dyDescent="0.25">
      <c r="A44" s="998"/>
      <c r="B44" s="999"/>
      <c r="C44" s="999"/>
      <c r="D44" s="999" t="s">
        <v>763</v>
      </c>
      <c r="E44" s="999"/>
      <c r="F44" s="1000"/>
      <c r="G44" s="1001"/>
      <c r="H44" s="990"/>
      <c r="I44" s="1002">
        <f>SUM(I36:I43)</f>
        <v>2863415.23</v>
      </c>
      <c r="J44" s="1002">
        <f>SUM(J36:J43)</f>
        <v>899463.35</v>
      </c>
      <c r="K44" s="1002">
        <f>SUM(K36:K43)</f>
        <v>2113572.65</v>
      </c>
      <c r="L44" s="1002">
        <f>SUM(L36:L43)</f>
        <v>3013036</v>
      </c>
      <c r="M44" s="1002">
        <f>SUM(M36:M43)</f>
        <v>3033366</v>
      </c>
    </row>
    <row r="45" spans="1:14" ht="18" customHeight="1" x14ac:dyDescent="0.25">
      <c r="A45" s="986"/>
      <c r="B45" s="987" t="s">
        <v>573</v>
      </c>
      <c r="C45" s="987"/>
      <c r="D45" s="987"/>
      <c r="E45" s="987"/>
      <c r="F45" s="988"/>
      <c r="G45" s="989"/>
      <c r="H45" s="996"/>
      <c r="I45" s="994"/>
      <c r="J45" s="995"/>
      <c r="K45" s="995"/>
      <c r="L45" s="995"/>
      <c r="M45" s="995"/>
    </row>
    <row r="46" spans="1:14" ht="18" customHeight="1" x14ac:dyDescent="0.25">
      <c r="A46" s="986"/>
      <c r="B46" s="987"/>
      <c r="C46" s="987"/>
      <c r="D46" s="987" t="s">
        <v>697</v>
      </c>
      <c r="E46" s="987"/>
      <c r="F46" s="988"/>
      <c r="G46" s="989" t="s">
        <v>859</v>
      </c>
      <c r="H46" s="993" t="s">
        <v>860</v>
      </c>
      <c r="I46" s="994">
        <v>186791</v>
      </c>
      <c r="J46" s="994">
        <v>234350</v>
      </c>
      <c r="K46" s="994">
        <f>1650000-J46</f>
        <v>1415650</v>
      </c>
      <c r="L46" s="995">
        <f t="shared" ref="L46:L53" si="2">SUM(K46+J46)</f>
        <v>1650000</v>
      </c>
      <c r="M46" s="995">
        <v>0</v>
      </c>
    </row>
    <row r="47" spans="1:14" ht="18" customHeight="1" x14ac:dyDescent="0.25">
      <c r="A47" s="986"/>
      <c r="B47" s="987"/>
      <c r="C47" s="987"/>
      <c r="D47" s="987" t="s">
        <v>865</v>
      </c>
      <c r="E47" s="987"/>
      <c r="F47" s="988"/>
      <c r="G47" s="989" t="s">
        <v>959</v>
      </c>
      <c r="H47" s="993" t="s">
        <v>866</v>
      </c>
      <c r="I47" s="994">
        <v>0</v>
      </c>
      <c r="J47" s="995">
        <v>449991.15</v>
      </c>
      <c r="K47" s="994">
        <f>6000000-J47</f>
        <v>5550008.8499999996</v>
      </c>
      <c r="L47" s="995">
        <f t="shared" si="2"/>
        <v>6000000</v>
      </c>
      <c r="M47" s="995">
        <v>0</v>
      </c>
    </row>
    <row r="48" spans="1:14" ht="18" customHeight="1" x14ac:dyDescent="0.25">
      <c r="A48" s="986"/>
      <c r="B48" s="987"/>
      <c r="C48" s="987"/>
      <c r="D48" s="987" t="s">
        <v>1529</v>
      </c>
      <c r="E48" s="987"/>
      <c r="F48" s="988"/>
      <c r="G48" s="989"/>
      <c r="H48" s="993" t="s">
        <v>1528</v>
      </c>
      <c r="I48" s="994">
        <v>0</v>
      </c>
      <c r="J48" s="995">
        <v>0</v>
      </c>
      <c r="K48" s="994">
        <f>850000-J48</f>
        <v>850000</v>
      </c>
      <c r="L48" s="995">
        <f t="shared" si="2"/>
        <v>850000</v>
      </c>
      <c r="M48" s="995">
        <v>0</v>
      </c>
    </row>
    <row r="49" spans="1:13" ht="18" customHeight="1" x14ac:dyDescent="0.25">
      <c r="A49" s="986"/>
      <c r="B49" s="987"/>
      <c r="C49" s="987"/>
      <c r="D49" s="987" t="s">
        <v>867</v>
      </c>
      <c r="E49" s="987"/>
      <c r="F49" s="988"/>
      <c r="G49" s="989" t="s">
        <v>960</v>
      </c>
      <c r="H49" s="993" t="s">
        <v>870</v>
      </c>
      <c r="I49" s="994">
        <v>0</v>
      </c>
      <c r="J49" s="995">
        <v>0</v>
      </c>
      <c r="K49" s="994">
        <f>1900000-J49</f>
        <v>1900000</v>
      </c>
      <c r="L49" s="995">
        <f t="shared" si="2"/>
        <v>1900000</v>
      </c>
      <c r="M49" s="995">
        <v>600000</v>
      </c>
    </row>
    <row r="50" spans="1:13" ht="18" customHeight="1" x14ac:dyDescent="0.25">
      <c r="A50" s="986"/>
      <c r="B50" s="987"/>
      <c r="C50" s="987"/>
      <c r="D50" s="987" t="s">
        <v>868</v>
      </c>
      <c r="E50" s="987"/>
      <c r="F50" s="988"/>
      <c r="G50" s="989" t="s">
        <v>932</v>
      </c>
      <c r="H50" s="993" t="s">
        <v>869</v>
      </c>
      <c r="I50" s="994">
        <v>0</v>
      </c>
      <c r="J50" s="995">
        <v>0</v>
      </c>
      <c r="K50" s="994">
        <f>0-J50</f>
        <v>0</v>
      </c>
      <c r="L50" s="995">
        <f t="shared" si="2"/>
        <v>0</v>
      </c>
      <c r="M50" s="995">
        <v>0</v>
      </c>
    </row>
    <row r="51" spans="1:13" ht="18" customHeight="1" x14ac:dyDescent="0.25">
      <c r="A51" s="986"/>
      <c r="B51" s="987"/>
      <c r="C51" s="987"/>
      <c r="D51" s="987" t="s">
        <v>1525</v>
      </c>
      <c r="E51" s="987"/>
      <c r="F51" s="988"/>
      <c r="G51" s="989"/>
      <c r="H51" s="993" t="s">
        <v>969</v>
      </c>
      <c r="I51" s="994">
        <v>0</v>
      </c>
      <c r="J51" s="995">
        <v>1150183.07</v>
      </c>
      <c r="K51" s="994">
        <f>3632000-J51</f>
        <v>2481816.9299999997</v>
      </c>
      <c r="L51" s="995">
        <f t="shared" si="2"/>
        <v>3632000</v>
      </c>
      <c r="M51" s="995">
        <f>1000000+1200000+300000</f>
        <v>2500000</v>
      </c>
    </row>
    <row r="52" spans="1:13" ht="18" customHeight="1" x14ac:dyDescent="0.25">
      <c r="A52" s="986"/>
      <c r="B52" s="987"/>
      <c r="C52" s="987"/>
      <c r="D52" s="987" t="s">
        <v>1636</v>
      </c>
      <c r="E52" s="987"/>
      <c r="F52" s="988"/>
      <c r="G52" s="989"/>
      <c r="H52" s="993" t="s">
        <v>1635</v>
      </c>
      <c r="I52" s="994">
        <v>0</v>
      </c>
      <c r="J52" s="995">
        <v>0</v>
      </c>
      <c r="K52" s="994">
        <v>0</v>
      </c>
      <c r="L52" s="995">
        <f t="shared" si="2"/>
        <v>0</v>
      </c>
      <c r="M52" s="995">
        <f>200000+300000+500000</f>
        <v>1000000</v>
      </c>
    </row>
    <row r="53" spans="1:13" ht="18" customHeight="1" x14ac:dyDescent="0.25">
      <c r="A53" s="986"/>
      <c r="B53" s="987"/>
      <c r="C53" s="987"/>
      <c r="D53" s="987" t="s">
        <v>946</v>
      </c>
      <c r="E53" s="987"/>
      <c r="F53" s="988"/>
      <c r="G53" s="989" t="s">
        <v>970</v>
      </c>
      <c r="H53" s="993" t="s">
        <v>947</v>
      </c>
      <c r="I53" s="994">
        <v>0</v>
      </c>
      <c r="J53" s="995">
        <v>0</v>
      </c>
      <c r="K53" s="994">
        <f>400000-J53</f>
        <v>400000</v>
      </c>
      <c r="L53" s="995">
        <f t="shared" si="2"/>
        <v>400000</v>
      </c>
      <c r="M53" s="995">
        <f>300000+500000+100000</f>
        <v>900000</v>
      </c>
    </row>
    <row r="54" spans="1:13" s="1003" customFormat="1" ht="18" customHeight="1" x14ac:dyDescent="0.25">
      <c r="A54" s="998"/>
      <c r="B54" s="999"/>
      <c r="C54" s="999"/>
      <c r="D54" s="999" t="s">
        <v>808</v>
      </c>
      <c r="E54" s="999"/>
      <c r="F54" s="1000"/>
      <c r="G54" s="1001"/>
      <c r="H54" s="990"/>
      <c r="I54" s="1002">
        <f>SUM(I46:I53)</f>
        <v>186791</v>
      </c>
      <c r="J54" s="1002">
        <f>SUM(J46:J53)</f>
        <v>1834524.2200000002</v>
      </c>
      <c r="K54" s="1002">
        <f>SUM(K46:K53)</f>
        <v>12597475.779999999</v>
      </c>
      <c r="L54" s="1002">
        <f>SUM(L46:L53)</f>
        <v>14432000</v>
      </c>
      <c r="M54" s="1002">
        <f>SUM(M46:M53)</f>
        <v>5000000</v>
      </c>
    </row>
    <row r="55" spans="1:13" s="1003" customFormat="1" ht="18" customHeight="1" x14ac:dyDescent="0.25">
      <c r="A55" s="998"/>
      <c r="B55" s="999"/>
      <c r="C55" s="999"/>
      <c r="D55" s="999"/>
      <c r="E55" s="999"/>
      <c r="F55" s="1000"/>
      <c r="G55" s="1001"/>
      <c r="H55" s="990"/>
      <c r="I55" s="1002"/>
      <c r="J55" s="1005"/>
      <c r="K55" s="1005"/>
      <c r="L55" s="1005"/>
      <c r="M55" s="1005"/>
    </row>
    <row r="56" spans="1:13" s="1003" customFormat="1" ht="18" customHeight="1" x14ac:dyDescent="0.25">
      <c r="A56" s="1006" t="s">
        <v>635</v>
      </c>
      <c r="B56" s="1007"/>
      <c r="C56" s="1007"/>
      <c r="D56" s="1007"/>
      <c r="E56" s="1007"/>
      <c r="F56" s="1008"/>
      <c r="G56" s="1009"/>
      <c r="H56" s="1010"/>
      <c r="I56" s="1011">
        <f>SUM(I54+I44+I34)</f>
        <v>8949247.2400000002</v>
      </c>
      <c r="J56" s="1011">
        <f>SUM(J54+J44+J34)</f>
        <v>5910964.8500000006</v>
      </c>
      <c r="K56" s="1011">
        <f>SUM(K54+K44+K34)</f>
        <v>17354158.82</v>
      </c>
      <c r="L56" s="1011">
        <f>SUM(L54+L44+L34)</f>
        <v>23265123.669999998</v>
      </c>
      <c r="M56" s="1011">
        <f>SUM(M54+M44+M34)</f>
        <v>15099020</v>
      </c>
    </row>
    <row r="57" spans="1:13" ht="18" customHeight="1" x14ac:dyDescent="0.25">
      <c r="A57" s="973"/>
      <c r="B57" s="1012"/>
      <c r="C57" s="973"/>
      <c r="D57" s="973"/>
      <c r="E57" s="973"/>
      <c r="F57" s="973"/>
      <c r="G57" s="973"/>
      <c r="H57" s="1013"/>
      <c r="I57" s="1013"/>
      <c r="J57" s="1014"/>
      <c r="K57" s="1014"/>
      <c r="L57" s="1014"/>
      <c r="M57" s="1014"/>
    </row>
    <row r="58" spans="1:13" ht="18" customHeight="1" x14ac:dyDescent="0.25">
      <c r="A58" s="973"/>
      <c r="B58" s="1012"/>
      <c r="C58" s="973"/>
      <c r="D58" s="973"/>
      <c r="E58" s="973"/>
      <c r="F58" s="973"/>
      <c r="G58" s="973"/>
      <c r="H58" s="1013"/>
      <c r="I58" s="1015"/>
      <c r="J58" s="1014"/>
      <c r="K58" s="1014"/>
      <c r="L58" s="1014"/>
      <c r="M58" s="1014"/>
    </row>
    <row r="59" spans="1:13" ht="18" customHeight="1" x14ac:dyDescent="0.25">
      <c r="A59" s="973"/>
      <c r="B59" s="1012"/>
      <c r="C59" s="973"/>
      <c r="D59" s="973"/>
      <c r="E59" s="973"/>
      <c r="F59" s="973"/>
      <c r="G59" s="973"/>
      <c r="H59" s="1013"/>
      <c r="I59" s="1016"/>
      <c r="J59" s="1014"/>
      <c r="K59" s="1014"/>
      <c r="L59" s="1014"/>
      <c r="M59" s="1014"/>
    </row>
    <row r="60" spans="1:13" s="956" customFormat="1" ht="18" customHeight="1" x14ac:dyDescent="0.25">
      <c r="A60" s="953" t="s">
        <v>636</v>
      </c>
      <c r="B60" s="953"/>
      <c r="C60" s="954"/>
      <c r="D60" s="954"/>
      <c r="E60" s="954"/>
      <c r="F60" s="954"/>
      <c r="G60" s="954"/>
      <c r="I60" s="1017" t="s">
        <v>637</v>
      </c>
      <c r="J60" s="1014"/>
      <c r="K60" s="1018"/>
      <c r="L60" s="1018" t="s">
        <v>264</v>
      </c>
      <c r="M60" s="1014"/>
    </row>
    <row r="61" spans="1:13" ht="18" customHeight="1" x14ac:dyDescent="0.25">
      <c r="A61" s="973"/>
      <c r="B61" s="1012"/>
      <c r="C61" s="973"/>
      <c r="F61" s="1012"/>
      <c r="G61" s="1093"/>
      <c r="H61" s="1093"/>
      <c r="I61" s="1099"/>
      <c r="J61" s="1099"/>
      <c r="K61" s="1014"/>
      <c r="L61" s="1019"/>
      <c r="M61" s="1014"/>
    </row>
    <row r="62" spans="1:13" s="1020" customFormat="1" ht="18" customHeight="1" x14ac:dyDescent="0.25">
      <c r="A62" s="953"/>
      <c r="B62" s="953"/>
      <c r="C62" s="953"/>
      <c r="F62" s="1021" t="s">
        <v>1495</v>
      </c>
      <c r="G62" s="1022"/>
      <c r="I62" s="1100" t="s">
        <v>17</v>
      </c>
      <c r="J62" s="1100"/>
      <c r="K62" s="1023"/>
      <c r="L62" s="1100" t="s">
        <v>1495</v>
      </c>
      <c r="M62" s="1100"/>
    </row>
    <row r="63" spans="1:13" s="956" customFormat="1" ht="18" customHeight="1" x14ac:dyDescent="0.25">
      <c r="A63" s="954"/>
      <c r="B63" s="953"/>
      <c r="C63" s="954"/>
      <c r="D63" s="954"/>
      <c r="E63" s="954"/>
      <c r="F63" s="1024" t="s">
        <v>1717</v>
      </c>
      <c r="G63" s="1025"/>
      <c r="I63" s="1101" t="s">
        <v>18</v>
      </c>
      <c r="J63" s="1101"/>
      <c r="K63" s="1026"/>
      <c r="L63" s="1102" t="s">
        <v>14</v>
      </c>
      <c r="M63" s="1102"/>
    </row>
    <row r="64" spans="1:13" s="956" customFormat="1" ht="18" customHeight="1" x14ac:dyDescent="0.25">
      <c r="A64" s="954"/>
      <c r="B64" s="953"/>
      <c r="C64" s="954"/>
      <c r="D64" s="954"/>
      <c r="E64" s="954"/>
      <c r="F64" s="1024"/>
      <c r="G64" s="1025"/>
      <c r="H64" s="1013"/>
      <c r="I64" s="1013"/>
      <c r="K64" s="1027"/>
      <c r="L64" s="1027"/>
      <c r="M64" s="1014"/>
    </row>
    <row r="65" spans="1:13" s="956" customFormat="1" ht="18" customHeight="1" x14ac:dyDescent="0.25">
      <c r="A65" s="954"/>
      <c r="B65" s="953"/>
      <c r="C65" s="954"/>
      <c r="D65" s="954"/>
      <c r="E65" s="954"/>
      <c r="F65" s="1024"/>
      <c r="G65" s="1025"/>
      <c r="H65" s="1013"/>
      <c r="I65" s="1013"/>
      <c r="K65" s="1027"/>
      <c r="L65" s="1027"/>
      <c r="M65" s="1014"/>
    </row>
    <row r="66" spans="1:13" s="956" customFormat="1" ht="18" customHeight="1" x14ac:dyDescent="0.25">
      <c r="A66" s="954"/>
      <c r="B66" s="953"/>
      <c r="C66" s="954"/>
      <c r="D66" s="954"/>
      <c r="E66" s="954"/>
      <c r="F66" s="1024"/>
      <c r="G66" s="1025"/>
      <c r="H66" s="1013"/>
      <c r="I66" s="1013"/>
      <c r="K66" s="1027"/>
      <c r="L66" s="1027"/>
      <c r="M66" s="1014"/>
    </row>
    <row r="67" spans="1:13" s="956" customFormat="1" ht="18" customHeight="1" x14ac:dyDescent="0.25">
      <c r="A67" s="954"/>
      <c r="B67" s="953"/>
      <c r="C67" s="954"/>
      <c r="D67" s="954"/>
      <c r="E67" s="954"/>
      <c r="F67" s="1024"/>
      <c r="G67" s="1025"/>
      <c r="H67" s="1013"/>
      <c r="I67" s="1013"/>
      <c r="K67" s="1027"/>
      <c r="L67" s="1027"/>
      <c r="M67" s="1014"/>
    </row>
    <row r="68" spans="1:13" s="956" customFormat="1" ht="18" customHeight="1" x14ac:dyDescent="0.25">
      <c r="A68" s="954"/>
      <c r="B68" s="953"/>
      <c r="C68" s="954"/>
      <c r="D68" s="954"/>
      <c r="E68" s="954"/>
      <c r="F68" s="1024"/>
      <c r="G68" s="1025"/>
      <c r="H68" s="1013"/>
      <c r="I68" s="1013"/>
      <c r="K68" s="1027"/>
      <c r="L68" s="1027"/>
      <c r="M68" s="1014"/>
    </row>
    <row r="69" spans="1:13" s="956" customFormat="1" ht="18" customHeight="1" x14ac:dyDescent="0.25">
      <c r="A69" s="954"/>
      <c r="B69" s="953"/>
      <c r="C69" s="954"/>
      <c r="D69" s="954"/>
      <c r="E69" s="954"/>
      <c r="F69" s="1024"/>
      <c r="G69" s="1025"/>
      <c r="H69" s="1013"/>
      <c r="I69" s="1013"/>
      <c r="K69" s="1027"/>
      <c r="L69" s="1027"/>
      <c r="M69" s="1014"/>
    </row>
    <row r="70" spans="1:13" s="956" customFormat="1" ht="18" customHeight="1" x14ac:dyDescent="0.25">
      <c r="A70" s="954"/>
      <c r="B70" s="953"/>
      <c r="C70" s="954"/>
      <c r="D70" s="954"/>
      <c r="E70" s="954"/>
      <c r="F70" s="1024"/>
      <c r="G70" s="1025"/>
      <c r="H70" s="1013"/>
      <c r="I70" s="1013"/>
      <c r="K70" s="1027"/>
      <c r="L70" s="1027"/>
      <c r="M70" s="1014"/>
    </row>
    <row r="71" spans="1:13" s="956" customFormat="1" ht="20.100000000000001" customHeight="1" x14ac:dyDescent="0.35">
      <c r="A71" s="1095" t="s">
        <v>995</v>
      </c>
      <c r="B71" s="1095"/>
      <c r="C71" s="1095"/>
      <c r="D71" s="1095"/>
      <c r="E71" s="1095"/>
      <c r="F71" s="1095"/>
      <c r="G71" s="1095"/>
      <c r="H71" s="1095"/>
      <c r="I71" s="1095"/>
      <c r="J71" s="1095"/>
      <c r="K71" s="1095"/>
      <c r="L71" s="1095"/>
      <c r="M71" s="1095"/>
    </row>
    <row r="72" spans="1:13" s="956" customFormat="1" ht="18" customHeight="1" x14ac:dyDescent="0.25">
      <c r="A72" s="953"/>
      <c r="B72" s="954"/>
      <c r="C72" s="954"/>
      <c r="D72" s="954"/>
      <c r="E72" s="954"/>
      <c r="F72" s="954"/>
      <c r="G72" s="954"/>
      <c r="H72" s="954"/>
      <c r="I72" s="954"/>
      <c r="J72" s="954"/>
      <c r="K72" s="954"/>
      <c r="L72" s="954"/>
      <c r="M72" s="955"/>
    </row>
    <row r="73" spans="1:13" s="956" customFormat="1" ht="18" customHeight="1" x14ac:dyDescent="0.25">
      <c r="A73" s="1087" t="s">
        <v>21</v>
      </c>
      <c r="B73" s="1087"/>
      <c r="C73" s="1087"/>
      <c r="D73" s="1087"/>
      <c r="E73" s="1087"/>
      <c r="F73" s="1087"/>
      <c r="G73" s="1087"/>
      <c r="H73" s="1087"/>
      <c r="I73" s="1087"/>
      <c r="J73" s="1087"/>
      <c r="K73" s="1087"/>
      <c r="L73" s="1087"/>
      <c r="M73" s="1087"/>
    </row>
    <row r="74" spans="1:13" s="956" customFormat="1" ht="18" customHeight="1" x14ac:dyDescent="0.25">
      <c r="A74" s="1087" t="s">
        <v>364</v>
      </c>
      <c r="B74" s="1087"/>
      <c r="C74" s="1087"/>
      <c r="D74" s="1087"/>
      <c r="E74" s="1087"/>
      <c r="F74" s="1087"/>
      <c r="G74" s="1087"/>
      <c r="H74" s="1087"/>
      <c r="I74" s="1087"/>
      <c r="J74" s="1087"/>
      <c r="K74" s="1087"/>
      <c r="L74" s="1087"/>
      <c r="M74" s="1087"/>
    </row>
    <row r="75" spans="1:13" s="956" customFormat="1" ht="18" customHeight="1" x14ac:dyDescent="0.25">
      <c r="A75" s="957"/>
      <c r="B75" s="957"/>
      <c r="C75" s="957"/>
      <c r="D75" s="957"/>
      <c r="E75" s="957"/>
      <c r="F75" s="957"/>
      <c r="G75" s="957"/>
      <c r="H75" s="957"/>
      <c r="I75" s="957"/>
      <c r="J75" s="957"/>
      <c r="K75" s="957"/>
      <c r="L75" s="957"/>
      <c r="M75" s="957"/>
    </row>
    <row r="76" spans="1:13" s="956" customFormat="1" ht="18" customHeight="1" x14ac:dyDescent="0.25">
      <c r="A76" s="958" t="s">
        <v>1719</v>
      </c>
      <c r="B76" s="1021"/>
      <c r="C76" s="1017"/>
      <c r="D76" s="1021"/>
      <c r="E76" s="1021"/>
      <c r="F76" s="1021"/>
      <c r="G76" s="957"/>
      <c r="H76" s="957"/>
      <c r="I76" s="957"/>
      <c r="J76" s="957"/>
      <c r="K76" s="957"/>
      <c r="L76" s="957"/>
      <c r="M76" s="957"/>
    </row>
    <row r="77" spans="1:13" ht="18" customHeight="1" thickBot="1" x14ac:dyDescent="0.25">
      <c r="A77" s="1088"/>
      <c r="B77" s="1088"/>
      <c r="C77" s="1088"/>
      <c r="D77" s="1088"/>
      <c r="E77" s="1088"/>
      <c r="F77" s="1088"/>
      <c r="G77" s="1088"/>
      <c r="H77" s="1088"/>
      <c r="I77" s="1088"/>
      <c r="J77" s="1088"/>
      <c r="K77" s="1088"/>
      <c r="L77" s="1088"/>
      <c r="M77" s="1088"/>
    </row>
    <row r="78" spans="1:13" ht="18" customHeight="1" x14ac:dyDescent="0.2">
      <c r="A78" s="961"/>
      <c r="B78" s="962"/>
      <c r="C78" s="962"/>
      <c r="D78" s="962"/>
      <c r="E78" s="962"/>
      <c r="F78" s="963"/>
      <c r="G78" s="964"/>
      <c r="H78" s="965"/>
      <c r="I78" s="965"/>
      <c r="J78" s="1089" t="s">
        <v>633</v>
      </c>
      <c r="K78" s="1090"/>
      <c r="L78" s="1091"/>
      <c r="M78" s="966"/>
    </row>
    <row r="79" spans="1:13" ht="18" customHeight="1" x14ac:dyDescent="0.2">
      <c r="A79" s="1092"/>
      <c r="B79" s="1093"/>
      <c r="C79" s="1093"/>
      <c r="D79" s="1093"/>
      <c r="E79" s="1093"/>
      <c r="F79" s="1094"/>
      <c r="G79" s="967"/>
      <c r="H79" s="968"/>
      <c r="I79" s="968" t="s">
        <v>6</v>
      </c>
      <c r="J79" s="968" t="s">
        <v>580</v>
      </c>
      <c r="K79" s="968" t="s">
        <v>581</v>
      </c>
      <c r="L79" s="968"/>
      <c r="M79" s="969" t="s">
        <v>7</v>
      </c>
    </row>
    <row r="80" spans="1:13" ht="18" customHeight="1" x14ac:dyDescent="0.25">
      <c r="A80" s="1092" t="s">
        <v>22</v>
      </c>
      <c r="B80" s="1093"/>
      <c r="C80" s="1093"/>
      <c r="D80" s="1093"/>
      <c r="E80" s="1093"/>
      <c r="F80" s="1094"/>
      <c r="G80" s="970"/>
      <c r="H80" s="971" t="s">
        <v>634</v>
      </c>
      <c r="I80" s="968" t="s">
        <v>579</v>
      </c>
      <c r="J80" s="968" t="s">
        <v>579</v>
      </c>
      <c r="K80" s="968" t="s">
        <v>582</v>
      </c>
      <c r="L80" s="968" t="s">
        <v>15</v>
      </c>
      <c r="M80" s="969" t="s">
        <v>584</v>
      </c>
    </row>
    <row r="81" spans="1:13" ht="18" customHeight="1" x14ac:dyDescent="0.2">
      <c r="A81" s="972"/>
      <c r="B81" s="973"/>
      <c r="C81" s="973"/>
      <c r="D81" s="973"/>
      <c r="E81" s="973"/>
      <c r="F81" s="974"/>
      <c r="G81" s="970"/>
      <c r="H81" s="968"/>
      <c r="I81" s="968">
        <v>2019</v>
      </c>
      <c r="J81" s="968">
        <v>2020</v>
      </c>
      <c r="K81" s="968">
        <v>2020</v>
      </c>
      <c r="L81" s="968">
        <v>2020</v>
      </c>
      <c r="M81" s="969">
        <v>2021</v>
      </c>
    </row>
    <row r="82" spans="1:13" ht="18" customHeight="1" thickBot="1" x14ac:dyDescent="0.25">
      <c r="A82" s="1096"/>
      <c r="B82" s="1097"/>
      <c r="C82" s="1097"/>
      <c r="D82" s="1097"/>
      <c r="E82" s="1097"/>
      <c r="F82" s="1098"/>
      <c r="G82" s="975"/>
      <c r="H82" s="976"/>
      <c r="I82" s="976"/>
      <c r="J82" s="976"/>
      <c r="K82" s="976"/>
      <c r="L82" s="976"/>
      <c r="M82" s="977"/>
    </row>
    <row r="83" spans="1:13" ht="18" customHeight="1" x14ac:dyDescent="0.25">
      <c r="A83" s="978"/>
      <c r="B83" s="979" t="s">
        <v>372</v>
      </c>
      <c r="C83" s="980"/>
      <c r="D83" s="979"/>
      <c r="E83" s="979"/>
      <c r="F83" s="981"/>
      <c r="G83" s="982"/>
      <c r="H83" s="1028"/>
      <c r="I83" s="1029"/>
      <c r="J83" s="1030"/>
      <c r="K83" s="1030"/>
      <c r="L83" s="1030"/>
      <c r="M83" s="1030"/>
    </row>
    <row r="84" spans="1:13" ht="18" customHeight="1" x14ac:dyDescent="0.25">
      <c r="A84" s="986"/>
      <c r="B84" s="987"/>
      <c r="C84" s="987" t="s">
        <v>532</v>
      </c>
      <c r="D84" s="987"/>
      <c r="E84" s="987"/>
      <c r="F84" s="988"/>
      <c r="G84" s="989"/>
      <c r="H84" s="1031"/>
      <c r="I84" s="1032"/>
      <c r="J84" s="1033"/>
      <c r="K84" s="1033"/>
      <c r="L84" s="1033"/>
      <c r="M84" s="1033"/>
    </row>
    <row r="85" spans="1:13" ht="18" customHeight="1" x14ac:dyDescent="0.25">
      <c r="A85" s="986"/>
      <c r="B85" s="987"/>
      <c r="C85" s="987"/>
      <c r="D85" s="987" t="s">
        <v>533</v>
      </c>
      <c r="E85" s="987"/>
      <c r="F85" s="988"/>
      <c r="G85" s="989" t="s">
        <v>603</v>
      </c>
      <c r="H85" s="993" t="s">
        <v>698</v>
      </c>
      <c r="I85" s="994">
        <v>11287079.4</v>
      </c>
      <c r="J85" s="995">
        <v>5821932</v>
      </c>
      <c r="K85" s="995">
        <f>11644568-J85</f>
        <v>5822636</v>
      </c>
      <c r="L85" s="995">
        <f>SUM(K85+J85)</f>
        <v>11644568</v>
      </c>
      <c r="M85" s="995">
        <v>12162108</v>
      </c>
    </row>
    <row r="86" spans="1:13" ht="18" customHeight="1" x14ac:dyDescent="0.25">
      <c r="A86" s="986"/>
      <c r="B86" s="987"/>
      <c r="C86" s="987" t="s">
        <v>534</v>
      </c>
      <c r="D86" s="987"/>
      <c r="E86" s="987"/>
      <c r="F86" s="988"/>
      <c r="G86" s="989"/>
      <c r="H86" s="1031"/>
      <c r="I86" s="994"/>
      <c r="J86" s="995"/>
      <c r="K86" s="995"/>
      <c r="L86" s="995"/>
      <c r="M86" s="995"/>
    </row>
    <row r="87" spans="1:13" ht="18" customHeight="1" x14ac:dyDescent="0.25">
      <c r="A87" s="986"/>
      <c r="B87" s="987"/>
      <c r="C87" s="987"/>
      <c r="D87" s="987" t="s">
        <v>535</v>
      </c>
      <c r="E87" s="987"/>
      <c r="F87" s="988"/>
      <c r="G87" s="989" t="s">
        <v>604</v>
      </c>
      <c r="H87" s="993" t="s">
        <v>699</v>
      </c>
      <c r="I87" s="994">
        <v>425727.28</v>
      </c>
      <c r="J87" s="995">
        <v>216000</v>
      </c>
      <c r="K87" s="995">
        <f>432000-J87</f>
        <v>216000</v>
      </c>
      <c r="L87" s="995">
        <f t="shared" ref="L87:L103" si="3">SUM(K87+J87)</f>
        <v>432000</v>
      </c>
      <c r="M87" s="995">
        <v>432000</v>
      </c>
    </row>
    <row r="88" spans="1:13" ht="18" customHeight="1" x14ac:dyDescent="0.25">
      <c r="A88" s="986"/>
      <c r="B88" s="987"/>
      <c r="C88" s="987"/>
      <c r="D88" s="987" t="s">
        <v>546</v>
      </c>
      <c r="E88" s="987"/>
      <c r="F88" s="988"/>
      <c r="G88" s="989" t="s">
        <v>605</v>
      </c>
      <c r="H88" s="993" t="s">
        <v>700</v>
      </c>
      <c r="I88" s="994">
        <v>918405.68</v>
      </c>
      <c r="J88" s="995">
        <v>464100</v>
      </c>
      <c r="K88" s="995">
        <f>928200-J88</f>
        <v>464100</v>
      </c>
      <c r="L88" s="995">
        <f t="shared" si="3"/>
        <v>928200</v>
      </c>
      <c r="M88" s="995">
        <v>928200</v>
      </c>
    </row>
    <row r="89" spans="1:13" ht="18" customHeight="1" x14ac:dyDescent="0.25">
      <c r="A89" s="986"/>
      <c r="B89" s="987"/>
      <c r="C89" s="987"/>
      <c r="D89" s="987" t="s">
        <v>545</v>
      </c>
      <c r="E89" s="987"/>
      <c r="F89" s="988"/>
      <c r="G89" s="989" t="s">
        <v>606</v>
      </c>
      <c r="H89" s="993" t="s">
        <v>701</v>
      </c>
      <c r="I89" s="994">
        <v>838409.08</v>
      </c>
      <c r="J89" s="995">
        <v>420750</v>
      </c>
      <c r="K89" s="995">
        <f>928200-J89</f>
        <v>507450</v>
      </c>
      <c r="L89" s="995">
        <f t="shared" si="3"/>
        <v>928200</v>
      </c>
      <c r="M89" s="995">
        <v>928200</v>
      </c>
    </row>
    <row r="90" spans="1:13" ht="18" customHeight="1" x14ac:dyDescent="0.25">
      <c r="A90" s="986"/>
      <c r="B90" s="987"/>
      <c r="C90" s="987"/>
      <c r="D90" s="987" t="s">
        <v>547</v>
      </c>
      <c r="E90" s="987"/>
      <c r="F90" s="988"/>
      <c r="G90" s="989" t="s">
        <v>607</v>
      </c>
      <c r="H90" s="993" t="s">
        <v>702</v>
      </c>
      <c r="I90" s="994">
        <v>102000</v>
      </c>
      <c r="J90" s="995">
        <v>108000</v>
      </c>
      <c r="K90" s="995">
        <f>108000-J90</f>
        <v>0</v>
      </c>
      <c r="L90" s="995">
        <f t="shared" si="3"/>
        <v>108000</v>
      </c>
      <c r="M90" s="995">
        <v>108000</v>
      </c>
    </row>
    <row r="91" spans="1:13" ht="18" customHeight="1" x14ac:dyDescent="0.25">
      <c r="A91" s="986"/>
      <c r="B91" s="987"/>
      <c r="C91" s="987"/>
      <c r="D91" s="987" t="s">
        <v>696</v>
      </c>
      <c r="E91" s="987"/>
      <c r="F91" s="988"/>
      <c r="G91" s="989" t="s">
        <v>609</v>
      </c>
      <c r="H91" s="993" t="s">
        <v>703</v>
      </c>
      <c r="I91" s="994">
        <v>90000</v>
      </c>
      <c r="J91" s="995">
        <v>0</v>
      </c>
      <c r="K91" s="995">
        <f>90000-J91</f>
        <v>90000</v>
      </c>
      <c r="L91" s="995">
        <f t="shared" si="3"/>
        <v>90000</v>
      </c>
      <c r="M91" s="995">
        <v>90000</v>
      </c>
    </row>
    <row r="92" spans="1:13" ht="18" customHeight="1" x14ac:dyDescent="0.25">
      <c r="A92" s="986"/>
      <c r="B92" s="987"/>
      <c r="C92" s="987"/>
      <c r="D92" s="987" t="s">
        <v>549</v>
      </c>
      <c r="E92" s="987"/>
      <c r="F92" s="988"/>
      <c r="G92" s="989" t="s">
        <v>440</v>
      </c>
      <c r="H92" s="993" t="s">
        <v>704</v>
      </c>
      <c r="I92" s="994">
        <v>0</v>
      </c>
      <c r="J92" s="995">
        <v>0</v>
      </c>
      <c r="K92" s="995">
        <f>0-J92</f>
        <v>0</v>
      </c>
      <c r="L92" s="995">
        <f t="shared" si="3"/>
        <v>0</v>
      </c>
      <c r="M92" s="995">
        <v>0</v>
      </c>
    </row>
    <row r="93" spans="1:13" ht="18" customHeight="1" x14ac:dyDescent="0.25">
      <c r="A93" s="986"/>
      <c r="B93" s="987"/>
      <c r="C93" s="987"/>
      <c r="D93" s="987" t="s">
        <v>1562</v>
      </c>
      <c r="E93" s="987"/>
      <c r="F93" s="988"/>
      <c r="G93" s="989"/>
      <c r="H93" s="993" t="s">
        <v>704</v>
      </c>
      <c r="I93" s="994">
        <v>332113</v>
      </c>
      <c r="J93" s="995">
        <v>610513.13</v>
      </c>
      <c r="K93" s="995">
        <f>610513.13-J93</f>
        <v>0</v>
      </c>
      <c r="L93" s="995">
        <f t="shared" si="3"/>
        <v>610513.13</v>
      </c>
      <c r="M93" s="995">
        <v>0</v>
      </c>
    </row>
    <row r="94" spans="1:13" ht="18" customHeight="1" x14ac:dyDescent="0.25">
      <c r="A94" s="986"/>
      <c r="B94" s="987"/>
      <c r="C94" s="987"/>
      <c r="D94" s="987" t="s">
        <v>552</v>
      </c>
      <c r="E94" s="987"/>
      <c r="F94" s="988"/>
      <c r="G94" s="989" t="s">
        <v>612</v>
      </c>
      <c r="H94" s="993" t="s">
        <v>705</v>
      </c>
      <c r="I94" s="994">
        <v>90000</v>
      </c>
      <c r="J94" s="995">
        <v>0</v>
      </c>
      <c r="K94" s="995">
        <f>90000-J94</f>
        <v>90000</v>
      </c>
      <c r="L94" s="995">
        <f t="shared" si="3"/>
        <v>90000</v>
      </c>
      <c r="M94" s="995">
        <v>90000</v>
      </c>
    </row>
    <row r="95" spans="1:13" ht="18" customHeight="1" x14ac:dyDescent="0.25">
      <c r="A95" s="986"/>
      <c r="B95" s="987"/>
      <c r="C95" s="987"/>
      <c r="D95" s="987" t="s">
        <v>816</v>
      </c>
      <c r="E95" s="987"/>
      <c r="F95" s="987"/>
      <c r="G95" s="997" t="s">
        <v>440</v>
      </c>
      <c r="H95" s="993" t="s">
        <v>704</v>
      </c>
      <c r="I95" s="994">
        <v>849215</v>
      </c>
      <c r="J95" s="995">
        <f>1226601.81-256279.81</f>
        <v>970322</v>
      </c>
      <c r="K95" s="995">
        <f>970322-J95</f>
        <v>0</v>
      </c>
      <c r="L95" s="995">
        <f t="shared" si="3"/>
        <v>970322</v>
      </c>
      <c r="M95" s="995">
        <v>991822</v>
      </c>
    </row>
    <row r="96" spans="1:13" ht="18" customHeight="1" x14ac:dyDescent="0.25">
      <c r="A96" s="986"/>
      <c r="B96" s="987"/>
      <c r="C96" s="987"/>
      <c r="D96" s="987" t="s">
        <v>553</v>
      </c>
      <c r="E96" s="987"/>
      <c r="F96" s="988"/>
      <c r="G96" s="989" t="s">
        <v>613</v>
      </c>
      <c r="H96" s="993" t="s">
        <v>706</v>
      </c>
      <c r="I96" s="994">
        <v>947677</v>
      </c>
      <c r="J96" s="995">
        <v>0</v>
      </c>
      <c r="K96" s="995">
        <f>970498-J96</f>
        <v>970498</v>
      </c>
      <c r="L96" s="995">
        <f t="shared" si="3"/>
        <v>970498</v>
      </c>
      <c r="M96" s="995">
        <v>992048</v>
      </c>
    </row>
    <row r="97" spans="1:13" ht="18" customHeight="1" x14ac:dyDescent="0.25">
      <c r="A97" s="986"/>
      <c r="B97" s="987"/>
      <c r="C97" s="987"/>
      <c r="D97" s="987" t="s">
        <v>669</v>
      </c>
      <c r="E97" s="987"/>
      <c r="F97" s="988"/>
      <c r="G97" s="989" t="s">
        <v>614</v>
      </c>
      <c r="H97" s="993" t="s">
        <v>707</v>
      </c>
      <c r="I97" s="994">
        <f>1083118.56+222275.63</f>
        <v>1305394.19</v>
      </c>
      <c r="J97" s="995">
        <v>483976.8</v>
      </c>
      <c r="K97" s="995">
        <f>1398000-J97</f>
        <v>914023.2</v>
      </c>
      <c r="L97" s="995">
        <f t="shared" si="3"/>
        <v>1398000</v>
      </c>
      <c r="M97" s="995">
        <v>1460000</v>
      </c>
    </row>
    <row r="98" spans="1:13" ht="18" customHeight="1" x14ac:dyDescent="0.25">
      <c r="A98" s="986"/>
      <c r="B98" s="987"/>
      <c r="C98" s="987"/>
      <c r="D98" s="987" t="s">
        <v>554</v>
      </c>
      <c r="E98" s="987"/>
      <c r="F98" s="988"/>
      <c r="G98" s="989" t="s">
        <v>615</v>
      </c>
      <c r="H98" s="993" t="s">
        <v>708</v>
      </c>
      <c r="I98" s="994">
        <v>21400</v>
      </c>
      <c r="J98" s="995">
        <v>9000</v>
      </c>
      <c r="K98" s="995">
        <f>21600-J98</f>
        <v>12600</v>
      </c>
      <c r="L98" s="995">
        <f t="shared" si="3"/>
        <v>21600</v>
      </c>
      <c r="M98" s="995">
        <v>32400</v>
      </c>
    </row>
    <row r="99" spans="1:13" ht="18" customHeight="1" x14ac:dyDescent="0.25">
      <c r="A99" s="986"/>
      <c r="B99" s="987"/>
      <c r="C99" s="987"/>
      <c r="D99" s="987" t="s">
        <v>555</v>
      </c>
      <c r="E99" s="987"/>
      <c r="F99" s="988"/>
      <c r="G99" s="989" t="s">
        <v>616</v>
      </c>
      <c r="H99" s="993" t="s">
        <v>709</v>
      </c>
      <c r="I99" s="994">
        <v>92716.25</v>
      </c>
      <c r="J99" s="995">
        <v>59715</v>
      </c>
      <c r="K99" s="995">
        <f>175000-J99</f>
        <v>115285</v>
      </c>
      <c r="L99" s="995">
        <f t="shared" si="3"/>
        <v>175000</v>
      </c>
      <c r="M99" s="995">
        <v>213000</v>
      </c>
    </row>
    <row r="100" spans="1:13" ht="18" customHeight="1" x14ac:dyDescent="0.25">
      <c r="A100" s="986"/>
      <c r="B100" s="987"/>
      <c r="C100" s="987"/>
      <c r="D100" s="987" t="s">
        <v>665</v>
      </c>
      <c r="E100" s="987"/>
      <c r="F100" s="988"/>
      <c r="G100" s="989" t="s">
        <v>617</v>
      </c>
      <c r="H100" s="993" t="s">
        <v>710</v>
      </c>
      <c r="I100" s="994">
        <f>17534.44+3377.05</f>
        <v>20911.489999999998</v>
      </c>
      <c r="J100" s="995">
        <v>7970.4</v>
      </c>
      <c r="K100" s="995">
        <f>21600-J100</f>
        <v>13629.6</v>
      </c>
      <c r="L100" s="995">
        <f t="shared" si="3"/>
        <v>21600</v>
      </c>
      <c r="M100" s="995">
        <v>21600</v>
      </c>
    </row>
    <row r="101" spans="1:13" ht="18" customHeight="1" x14ac:dyDescent="0.25">
      <c r="A101" s="986"/>
      <c r="B101" s="987"/>
      <c r="C101" s="987"/>
      <c r="D101" s="987" t="s">
        <v>378</v>
      </c>
      <c r="E101" s="987"/>
      <c r="F101" s="988"/>
      <c r="G101" s="989" t="s">
        <v>618</v>
      </c>
      <c r="H101" s="993" t="s">
        <v>711</v>
      </c>
      <c r="I101" s="994">
        <f>1564608.26</f>
        <v>1564608.26</v>
      </c>
      <c r="J101" s="995">
        <v>0</v>
      </c>
      <c r="K101" s="995">
        <f>0-J101</f>
        <v>0</v>
      </c>
      <c r="L101" s="995">
        <f t="shared" si="3"/>
        <v>0</v>
      </c>
      <c r="M101" s="995">
        <v>0</v>
      </c>
    </row>
    <row r="102" spans="1:13" ht="18" customHeight="1" x14ac:dyDescent="0.25">
      <c r="A102" s="986"/>
      <c r="B102" s="987"/>
      <c r="C102" s="987"/>
      <c r="D102" s="987" t="s">
        <v>557</v>
      </c>
      <c r="E102" s="987"/>
      <c r="F102" s="988"/>
      <c r="G102" s="989" t="s">
        <v>403</v>
      </c>
      <c r="H102" s="993" t="s">
        <v>722</v>
      </c>
      <c r="I102" s="994">
        <v>1872230.21</v>
      </c>
      <c r="J102" s="995">
        <f>661820.96+256279.81</f>
        <v>918100.77</v>
      </c>
      <c r="K102" s="995">
        <f>661820.96+256279.81-J102</f>
        <v>0</v>
      </c>
      <c r="L102" s="995">
        <f t="shared" si="3"/>
        <v>918100.77</v>
      </c>
      <c r="M102" s="995">
        <v>0</v>
      </c>
    </row>
    <row r="103" spans="1:13" ht="18" customHeight="1" x14ac:dyDescent="0.25">
      <c r="A103" s="986"/>
      <c r="B103" s="987"/>
      <c r="C103" s="987"/>
      <c r="D103" s="987" t="s">
        <v>1563</v>
      </c>
      <c r="E103" s="987"/>
      <c r="F103" s="988"/>
      <c r="G103" s="989"/>
      <c r="H103" s="993" t="s">
        <v>722</v>
      </c>
      <c r="I103" s="994">
        <v>180000</v>
      </c>
      <c r="J103" s="995">
        <v>0</v>
      </c>
      <c r="K103" s="995">
        <f>0-J103</f>
        <v>0</v>
      </c>
      <c r="L103" s="995">
        <f t="shared" si="3"/>
        <v>0</v>
      </c>
      <c r="M103" s="995">
        <v>0</v>
      </c>
    </row>
    <row r="104" spans="1:13" s="1003" customFormat="1" ht="18" customHeight="1" x14ac:dyDescent="0.25">
      <c r="A104" s="998"/>
      <c r="B104" s="999"/>
      <c r="C104" s="999"/>
      <c r="D104" s="999" t="s">
        <v>377</v>
      </c>
      <c r="E104" s="999"/>
      <c r="F104" s="1000"/>
      <c r="G104" s="1001"/>
      <c r="H104" s="1034"/>
      <c r="I104" s="1002">
        <f>SUM(I85:I103)</f>
        <v>20937886.84</v>
      </c>
      <c r="J104" s="1002">
        <f>SUM(J85:J103)</f>
        <v>10090380.1</v>
      </c>
      <c r="K104" s="1002">
        <f>SUM(K85:K103)</f>
        <v>9216221.7999999989</v>
      </c>
      <c r="L104" s="1002">
        <f>SUM(L85:L103)</f>
        <v>19306601.900000002</v>
      </c>
      <c r="M104" s="1002">
        <f>SUM(M85:M103)</f>
        <v>18449378</v>
      </c>
    </row>
    <row r="105" spans="1:13" ht="18" customHeight="1" x14ac:dyDescent="0.25">
      <c r="A105" s="986"/>
      <c r="B105" s="987" t="s">
        <v>558</v>
      </c>
      <c r="C105" s="987"/>
      <c r="D105" s="987"/>
      <c r="E105" s="987"/>
      <c r="F105" s="988"/>
      <c r="G105" s="989"/>
      <c r="H105" s="1031"/>
      <c r="I105" s="994"/>
      <c r="J105" s="995"/>
      <c r="K105" s="995"/>
      <c r="L105" s="995"/>
      <c r="M105" s="995"/>
    </row>
    <row r="106" spans="1:13" ht="18" customHeight="1" x14ac:dyDescent="0.25">
      <c r="A106" s="986"/>
      <c r="B106" s="987"/>
      <c r="C106" s="987"/>
      <c r="D106" s="987" t="s">
        <v>559</v>
      </c>
      <c r="E106" s="987"/>
      <c r="F106" s="988"/>
      <c r="G106" s="989" t="s">
        <v>390</v>
      </c>
      <c r="H106" s="993" t="s">
        <v>712</v>
      </c>
      <c r="I106" s="994">
        <v>907094</v>
      </c>
      <c r="J106" s="995">
        <v>90999</v>
      </c>
      <c r="K106" s="995">
        <f>1490000-J106</f>
        <v>1399001</v>
      </c>
      <c r="L106" s="995">
        <f t="shared" ref="L106:L118" si="4">SUM(K106+J106)</f>
        <v>1490000</v>
      </c>
      <c r="M106" s="995">
        <f>1490000-144000</f>
        <v>1346000</v>
      </c>
    </row>
    <row r="107" spans="1:13" ht="18" customHeight="1" x14ac:dyDescent="0.25">
      <c r="A107" s="986"/>
      <c r="B107" s="987"/>
      <c r="C107" s="987"/>
      <c r="D107" s="987" t="s">
        <v>436</v>
      </c>
      <c r="E107" s="987"/>
      <c r="F107" s="988"/>
      <c r="G107" s="989" t="s">
        <v>391</v>
      </c>
      <c r="H107" s="993" t="s">
        <v>713</v>
      </c>
      <c r="I107" s="994">
        <v>881065</v>
      </c>
      <c r="J107" s="995">
        <v>296500</v>
      </c>
      <c r="K107" s="995">
        <f>980000-J107</f>
        <v>683500</v>
      </c>
      <c r="L107" s="995">
        <f t="shared" si="4"/>
        <v>980000</v>
      </c>
      <c r="M107" s="995">
        <f>980000-16000</f>
        <v>964000</v>
      </c>
    </row>
    <row r="108" spans="1:13" ht="18" customHeight="1" x14ac:dyDescent="0.25">
      <c r="A108" s="986"/>
      <c r="B108" s="987"/>
      <c r="C108" s="987"/>
      <c r="D108" s="987" t="s">
        <v>384</v>
      </c>
      <c r="E108" s="987"/>
      <c r="F108" s="988"/>
      <c r="G108" s="989" t="s">
        <v>393</v>
      </c>
      <c r="H108" s="993" t="s">
        <v>714</v>
      </c>
      <c r="I108" s="994">
        <f>297324.66+3970</f>
        <v>301294.65999999997</v>
      </c>
      <c r="J108" s="995">
        <v>123907</v>
      </c>
      <c r="K108" s="995">
        <f>550000-J108</f>
        <v>426093</v>
      </c>
      <c r="L108" s="995">
        <f t="shared" si="4"/>
        <v>550000</v>
      </c>
      <c r="M108" s="995">
        <f>550000+100000</f>
        <v>650000</v>
      </c>
    </row>
    <row r="109" spans="1:13" ht="18" customHeight="1" x14ac:dyDescent="0.25">
      <c r="A109" s="986"/>
      <c r="B109" s="987"/>
      <c r="C109" s="987"/>
      <c r="D109" s="987" t="s">
        <v>948</v>
      </c>
      <c r="E109" s="987"/>
      <c r="F109" s="988"/>
      <c r="G109" s="989" t="s">
        <v>621</v>
      </c>
      <c r="H109" s="993" t="s">
        <v>726</v>
      </c>
      <c r="I109" s="994">
        <f>130249.85+3960</f>
        <v>134209.85</v>
      </c>
      <c r="J109" s="995">
        <v>28805.22</v>
      </c>
      <c r="K109" s="995">
        <f>750000-J109</f>
        <v>721194.78</v>
      </c>
      <c r="L109" s="995">
        <f t="shared" si="4"/>
        <v>750000</v>
      </c>
      <c r="M109" s="995">
        <v>750000</v>
      </c>
    </row>
    <row r="110" spans="1:13" ht="18" customHeight="1" x14ac:dyDescent="0.25">
      <c r="A110" s="986"/>
      <c r="B110" s="987"/>
      <c r="C110" s="987"/>
      <c r="D110" s="987" t="s">
        <v>563</v>
      </c>
      <c r="E110" s="987"/>
      <c r="F110" s="988"/>
      <c r="G110" s="989" t="s">
        <v>622</v>
      </c>
      <c r="H110" s="993" t="s">
        <v>715</v>
      </c>
      <c r="I110" s="994">
        <v>0</v>
      </c>
      <c r="J110" s="995">
        <v>0</v>
      </c>
      <c r="K110" s="995">
        <f>10000-J110</f>
        <v>10000</v>
      </c>
      <c r="L110" s="995">
        <f t="shared" si="4"/>
        <v>10000</v>
      </c>
      <c r="M110" s="995">
        <v>10000</v>
      </c>
    </row>
    <row r="111" spans="1:13" ht="18" customHeight="1" x14ac:dyDescent="0.25">
      <c r="A111" s="986"/>
      <c r="B111" s="987"/>
      <c r="C111" s="987"/>
      <c r="D111" s="987" t="s">
        <v>564</v>
      </c>
      <c r="E111" s="987"/>
      <c r="F111" s="988"/>
      <c r="G111" s="989" t="s">
        <v>623</v>
      </c>
      <c r="H111" s="993" t="s">
        <v>716</v>
      </c>
      <c r="I111" s="994">
        <v>28065.58</v>
      </c>
      <c r="J111" s="995">
        <v>13856.46</v>
      </c>
      <c r="K111" s="995">
        <f>80000-J111</f>
        <v>66143.540000000008</v>
      </c>
      <c r="L111" s="995">
        <f t="shared" si="4"/>
        <v>80000</v>
      </c>
      <c r="M111" s="995">
        <f>80000+16000</f>
        <v>96000</v>
      </c>
    </row>
    <row r="112" spans="1:13" ht="18" customHeight="1" x14ac:dyDescent="0.25">
      <c r="A112" s="986"/>
      <c r="B112" s="987"/>
      <c r="C112" s="987"/>
      <c r="D112" s="987" t="s">
        <v>565</v>
      </c>
      <c r="E112" s="987"/>
      <c r="F112" s="988"/>
      <c r="G112" s="989" t="s">
        <v>394</v>
      </c>
      <c r="H112" s="993" t="s">
        <v>716</v>
      </c>
      <c r="I112" s="994">
        <v>287000</v>
      </c>
      <c r="J112" s="995">
        <v>144000</v>
      </c>
      <c r="K112" s="995">
        <f>288000-J112</f>
        <v>144000</v>
      </c>
      <c r="L112" s="995">
        <f t="shared" si="4"/>
        <v>288000</v>
      </c>
      <c r="M112" s="995">
        <f>288000+144000</f>
        <v>432000</v>
      </c>
    </row>
    <row r="113" spans="1:14" ht="18" customHeight="1" x14ac:dyDescent="0.25">
      <c r="A113" s="986"/>
      <c r="B113" s="987"/>
      <c r="C113" s="987"/>
      <c r="D113" s="987" t="s">
        <v>566</v>
      </c>
      <c r="E113" s="987"/>
      <c r="F113" s="988"/>
      <c r="G113" s="989" t="s">
        <v>624</v>
      </c>
      <c r="H113" s="993" t="s">
        <v>727</v>
      </c>
      <c r="I113" s="994">
        <f>21500+97500</f>
        <v>119000</v>
      </c>
      <c r="J113" s="995">
        <v>209500</v>
      </c>
      <c r="K113" s="995">
        <f>500000-J113</f>
        <v>290500</v>
      </c>
      <c r="L113" s="995">
        <f t="shared" si="4"/>
        <v>500000</v>
      </c>
      <c r="M113" s="995">
        <f>500000+250000</f>
        <v>750000</v>
      </c>
    </row>
    <row r="114" spans="1:14" ht="18" customHeight="1" x14ac:dyDescent="0.25">
      <c r="A114" s="986"/>
      <c r="B114" s="987"/>
      <c r="C114" s="987"/>
      <c r="D114" s="987" t="s">
        <v>567</v>
      </c>
      <c r="E114" s="987"/>
      <c r="F114" s="988"/>
      <c r="G114" s="989" t="s">
        <v>625</v>
      </c>
      <c r="H114" s="993" t="s">
        <v>728</v>
      </c>
      <c r="I114" s="994">
        <v>133999</v>
      </c>
      <c r="J114" s="995">
        <v>59908</v>
      </c>
      <c r="K114" s="995">
        <f>250000-J114</f>
        <v>190092</v>
      </c>
      <c r="L114" s="995">
        <f t="shared" si="4"/>
        <v>250000</v>
      </c>
      <c r="M114" s="995">
        <v>250000</v>
      </c>
    </row>
    <row r="115" spans="1:14" ht="18" customHeight="1" x14ac:dyDescent="0.25">
      <c r="A115" s="986"/>
      <c r="B115" s="987"/>
      <c r="C115" s="987"/>
      <c r="D115" s="987" t="s">
        <v>949</v>
      </c>
      <c r="E115" s="987"/>
      <c r="F115" s="988"/>
      <c r="G115" s="989" t="s">
        <v>626</v>
      </c>
      <c r="H115" s="993" t="s">
        <v>729</v>
      </c>
      <c r="I115" s="994">
        <v>123589</v>
      </c>
      <c r="J115" s="995">
        <v>68170.210000000006</v>
      </c>
      <c r="K115" s="995">
        <f>300000-J115</f>
        <v>231829.78999999998</v>
      </c>
      <c r="L115" s="995">
        <f t="shared" si="4"/>
        <v>300000</v>
      </c>
      <c r="M115" s="995">
        <v>300000</v>
      </c>
    </row>
    <row r="116" spans="1:14" ht="18" customHeight="1" x14ac:dyDescent="0.25">
      <c r="A116" s="986"/>
      <c r="B116" s="987"/>
      <c r="C116" s="987"/>
      <c r="D116" s="987" t="s">
        <v>950</v>
      </c>
      <c r="E116" s="987"/>
      <c r="F116" s="988"/>
      <c r="G116" s="989" t="s">
        <v>395</v>
      </c>
      <c r="H116" s="993" t="s">
        <v>717</v>
      </c>
      <c r="I116" s="994">
        <v>4250</v>
      </c>
      <c r="J116" s="995">
        <v>3350</v>
      </c>
      <c r="K116" s="995">
        <f>250000-J116</f>
        <v>246650</v>
      </c>
      <c r="L116" s="995">
        <f t="shared" si="4"/>
        <v>250000</v>
      </c>
      <c r="M116" s="995">
        <f>300000</f>
        <v>300000</v>
      </c>
    </row>
    <row r="117" spans="1:14" ht="18" customHeight="1" x14ac:dyDescent="0.25">
      <c r="A117" s="986"/>
      <c r="B117" s="987"/>
      <c r="C117" s="987"/>
      <c r="D117" s="987" t="s">
        <v>977</v>
      </c>
      <c r="E117" s="987"/>
      <c r="F117" s="988"/>
      <c r="G117" s="989"/>
      <c r="H117" s="993" t="s">
        <v>975</v>
      </c>
      <c r="I117" s="994">
        <v>100000</v>
      </c>
      <c r="J117" s="995">
        <v>0</v>
      </c>
      <c r="K117" s="995">
        <f>150000-J117</f>
        <v>150000</v>
      </c>
      <c r="L117" s="995">
        <f t="shared" si="4"/>
        <v>150000</v>
      </c>
      <c r="M117" s="995">
        <v>150000</v>
      </c>
    </row>
    <row r="118" spans="1:14" ht="18" customHeight="1" x14ac:dyDescent="0.25">
      <c r="A118" s="986"/>
      <c r="B118" s="987"/>
      <c r="C118" s="987"/>
      <c r="D118" s="987" t="s">
        <v>572</v>
      </c>
      <c r="E118" s="987"/>
      <c r="F118" s="988"/>
      <c r="G118" s="989" t="s">
        <v>396</v>
      </c>
      <c r="H118" s="993" t="s">
        <v>718</v>
      </c>
      <c r="I118" s="994">
        <v>533332</v>
      </c>
      <c r="J118" s="995">
        <v>0</v>
      </c>
      <c r="K118" s="995">
        <f>0-J118</f>
        <v>0</v>
      </c>
      <c r="L118" s="995">
        <f t="shared" si="4"/>
        <v>0</v>
      </c>
      <c r="M118" s="995">
        <v>0</v>
      </c>
    </row>
    <row r="119" spans="1:14" ht="18" customHeight="1" x14ac:dyDescent="0.25">
      <c r="A119" s="986"/>
      <c r="B119" s="987"/>
      <c r="C119" s="987"/>
      <c r="D119" s="999" t="s">
        <v>763</v>
      </c>
      <c r="E119" s="987"/>
      <c r="F119" s="988"/>
      <c r="G119" s="989"/>
      <c r="H119" s="1031"/>
      <c r="I119" s="1002">
        <f>SUM(I106:I118)</f>
        <v>3552899.09</v>
      </c>
      <c r="J119" s="1002">
        <f>SUM(J106:J118)</f>
        <v>1038995.8899999999</v>
      </c>
      <c r="K119" s="1002">
        <f>SUM(K106:K118)</f>
        <v>4559004.1100000003</v>
      </c>
      <c r="L119" s="1002">
        <f>SUM(L106:L118)</f>
        <v>5598000</v>
      </c>
      <c r="M119" s="1002">
        <f>SUM(M106:M118)</f>
        <v>5998000</v>
      </c>
    </row>
    <row r="120" spans="1:14" ht="18" customHeight="1" x14ac:dyDescent="0.25">
      <c r="A120" s="986"/>
      <c r="B120" s="987" t="s">
        <v>573</v>
      </c>
      <c r="C120" s="987"/>
      <c r="D120" s="987"/>
      <c r="E120" s="987"/>
      <c r="F120" s="988"/>
      <c r="G120" s="989"/>
      <c r="H120" s="1031"/>
      <c r="I120" s="994"/>
      <c r="J120" s="995"/>
      <c r="K120" s="995"/>
      <c r="L120" s="995"/>
      <c r="M120" s="1005"/>
      <c r="N120" s="1004"/>
    </row>
    <row r="121" spans="1:14" ht="18" customHeight="1" x14ac:dyDescent="0.25">
      <c r="A121" s="986"/>
      <c r="B121" s="987"/>
      <c r="C121" s="987"/>
      <c r="D121" s="987" t="s">
        <v>697</v>
      </c>
      <c r="E121" s="987"/>
      <c r="F121" s="988"/>
      <c r="G121" s="989" t="s">
        <v>859</v>
      </c>
      <c r="H121" s="993" t="s">
        <v>860</v>
      </c>
      <c r="I121" s="994">
        <v>693800</v>
      </c>
      <c r="J121" s="995">
        <v>0</v>
      </c>
      <c r="K121" s="995">
        <f>134000-J121</f>
        <v>134000</v>
      </c>
      <c r="L121" s="995">
        <f>SUM(K121+J121)</f>
        <v>134000</v>
      </c>
      <c r="M121" s="995">
        <v>200000</v>
      </c>
    </row>
    <row r="122" spans="1:14" ht="18" customHeight="1" x14ac:dyDescent="0.25">
      <c r="A122" s="986"/>
      <c r="B122" s="987"/>
      <c r="C122" s="987"/>
      <c r="D122" s="987" t="s">
        <v>858</v>
      </c>
      <c r="E122" s="987"/>
      <c r="F122" s="988"/>
      <c r="G122" s="989" t="s">
        <v>861</v>
      </c>
      <c r="H122" s="993" t="s">
        <v>1640</v>
      </c>
      <c r="I122" s="994">
        <v>47780</v>
      </c>
      <c r="J122" s="995">
        <v>0</v>
      </c>
      <c r="K122" s="995">
        <f>0-J122</f>
        <v>0</v>
      </c>
      <c r="L122" s="995">
        <f>SUM(K122+J122)</f>
        <v>0</v>
      </c>
      <c r="M122" s="995">
        <v>100000</v>
      </c>
    </row>
    <row r="123" spans="1:14" ht="18" customHeight="1" x14ac:dyDescent="0.25">
      <c r="A123" s="986"/>
      <c r="B123" s="987"/>
      <c r="C123" s="987"/>
      <c r="D123" s="987" t="s">
        <v>868</v>
      </c>
      <c r="E123" s="987"/>
      <c r="F123" s="988"/>
      <c r="G123" s="989" t="s">
        <v>932</v>
      </c>
      <c r="H123" s="993" t="s">
        <v>869</v>
      </c>
      <c r="I123" s="994">
        <f>59590</f>
        <v>59590</v>
      </c>
      <c r="J123" s="995">
        <v>0</v>
      </c>
      <c r="K123" s="995">
        <f>0-J123</f>
        <v>0</v>
      </c>
      <c r="L123" s="995">
        <f>SUM(K123+J123)</f>
        <v>0</v>
      </c>
      <c r="M123" s="995">
        <v>0</v>
      </c>
    </row>
    <row r="124" spans="1:14" ht="18" customHeight="1" x14ac:dyDescent="0.25">
      <c r="A124" s="986"/>
      <c r="B124" s="987"/>
      <c r="C124" s="987"/>
      <c r="D124" s="987" t="s">
        <v>862</v>
      </c>
      <c r="E124" s="987"/>
      <c r="F124" s="988"/>
      <c r="G124" s="989" t="s">
        <v>863</v>
      </c>
      <c r="H124" s="993" t="s">
        <v>864</v>
      </c>
      <c r="I124" s="994">
        <f>118682.6+49475</f>
        <v>168157.6</v>
      </c>
      <c r="J124" s="995">
        <v>0</v>
      </c>
      <c r="K124" s="995">
        <f>0-J124</f>
        <v>0</v>
      </c>
      <c r="L124" s="995">
        <f>SUM(K124+J124)</f>
        <v>0</v>
      </c>
      <c r="M124" s="995">
        <v>200000</v>
      </c>
    </row>
    <row r="125" spans="1:14" ht="18" customHeight="1" x14ac:dyDescent="0.25">
      <c r="A125" s="986"/>
      <c r="B125" s="987"/>
      <c r="C125" s="987"/>
      <c r="D125" s="987" t="s">
        <v>871</v>
      </c>
      <c r="E125" s="987"/>
      <c r="F125" s="988"/>
      <c r="G125" s="989" t="s">
        <v>931</v>
      </c>
      <c r="H125" s="993" t="s">
        <v>872</v>
      </c>
      <c r="I125" s="994">
        <v>47850</v>
      </c>
      <c r="J125" s="995">
        <v>0</v>
      </c>
      <c r="K125" s="995">
        <f>50000-J125</f>
        <v>50000</v>
      </c>
      <c r="L125" s="995">
        <f>SUM(K125+J125)</f>
        <v>50000</v>
      </c>
      <c r="M125" s="995">
        <v>100000</v>
      </c>
    </row>
    <row r="126" spans="1:14" s="1003" customFormat="1" ht="18" customHeight="1" x14ac:dyDescent="0.25">
      <c r="A126" s="998"/>
      <c r="B126" s="999"/>
      <c r="C126" s="999"/>
      <c r="D126" s="999" t="s">
        <v>808</v>
      </c>
      <c r="E126" s="999"/>
      <c r="F126" s="1000"/>
      <c r="G126" s="1001"/>
      <c r="H126" s="1034"/>
      <c r="I126" s="1002">
        <f>SUM(I121:I125)</f>
        <v>1017177.6</v>
      </c>
      <c r="J126" s="1002">
        <f>SUM(J121:J125)</f>
        <v>0</v>
      </c>
      <c r="K126" s="1002">
        <f>SUM(K121:K125)</f>
        <v>184000</v>
      </c>
      <c r="L126" s="1002">
        <f>SUM(L121:L125)</f>
        <v>184000</v>
      </c>
      <c r="M126" s="1002">
        <f>SUM(M120:M125)</f>
        <v>600000</v>
      </c>
    </row>
    <row r="127" spans="1:14" ht="18" customHeight="1" x14ac:dyDescent="0.25">
      <c r="A127" s="986"/>
      <c r="B127" s="987"/>
      <c r="C127" s="987"/>
      <c r="D127" s="999"/>
      <c r="E127" s="987"/>
      <c r="F127" s="988"/>
      <c r="G127" s="989"/>
      <c r="H127" s="1031"/>
      <c r="I127" s="994"/>
      <c r="J127" s="995"/>
      <c r="K127" s="995"/>
      <c r="L127" s="995"/>
      <c r="M127" s="995"/>
    </row>
    <row r="128" spans="1:14" ht="18" customHeight="1" x14ac:dyDescent="0.25">
      <c r="A128" s="1006" t="s">
        <v>635</v>
      </c>
      <c r="B128" s="1007"/>
      <c r="C128" s="1007"/>
      <c r="D128" s="1007"/>
      <c r="E128" s="1007"/>
      <c r="F128" s="1008"/>
      <c r="G128" s="1009"/>
      <c r="H128" s="1035"/>
      <c r="I128" s="1011">
        <f>SUM(I126+I119+I104)</f>
        <v>25507963.530000001</v>
      </c>
      <c r="J128" s="1011">
        <f>SUM(J126+J119+J104)</f>
        <v>11129375.99</v>
      </c>
      <c r="K128" s="1011">
        <f>SUM(K126+K119+K104)</f>
        <v>13959225.91</v>
      </c>
      <c r="L128" s="1011">
        <f>SUM(L126+L119+L104)</f>
        <v>25088601.900000002</v>
      </c>
      <c r="M128" s="1011">
        <f>SUM(M126+M119+M104)</f>
        <v>25047378</v>
      </c>
    </row>
    <row r="129" spans="1:14" ht="18" customHeight="1" x14ac:dyDescent="0.25">
      <c r="A129" s="973"/>
      <c r="B129" s="1012"/>
      <c r="C129" s="973"/>
      <c r="D129" s="973"/>
      <c r="E129" s="973"/>
      <c r="F129" s="973"/>
      <c r="G129" s="973"/>
      <c r="H129" s="1013"/>
      <c r="I129" s="1013"/>
      <c r="J129" s="1014"/>
      <c r="K129" s="1014"/>
      <c r="L129" s="1014"/>
      <c r="M129" s="1014"/>
    </row>
    <row r="130" spans="1:14" ht="18" customHeight="1" x14ac:dyDescent="0.25">
      <c r="A130" s="973"/>
      <c r="B130" s="1012"/>
      <c r="C130" s="973"/>
      <c r="D130" s="973"/>
      <c r="E130" s="973"/>
      <c r="F130" s="973"/>
      <c r="G130" s="973"/>
      <c r="H130" s="1013"/>
      <c r="I130" s="1036"/>
      <c r="J130" s="1014"/>
      <c r="K130" s="1014"/>
      <c r="L130" s="1014"/>
      <c r="M130" s="1014"/>
    </row>
    <row r="131" spans="1:14" ht="18" customHeight="1" x14ac:dyDescent="0.25">
      <c r="A131" s="973"/>
      <c r="B131" s="1012"/>
      <c r="C131" s="973"/>
      <c r="D131" s="973"/>
      <c r="E131" s="973"/>
      <c r="F131" s="973"/>
      <c r="G131" s="973"/>
      <c r="H131" s="1013"/>
      <c r="I131" s="1013"/>
      <c r="J131" s="1014"/>
      <c r="K131" s="1014"/>
      <c r="L131" s="1014"/>
      <c r="M131" s="1014"/>
    </row>
    <row r="132" spans="1:14" s="956" customFormat="1" ht="18" customHeight="1" x14ac:dyDescent="0.25">
      <c r="A132" s="953" t="s">
        <v>636</v>
      </c>
      <c r="B132" s="953"/>
      <c r="C132" s="954"/>
      <c r="D132" s="954"/>
      <c r="E132" s="954"/>
      <c r="F132" s="954"/>
      <c r="G132" s="954"/>
      <c r="H132" s="1017"/>
      <c r="I132" s="1017" t="s">
        <v>637</v>
      </c>
      <c r="J132" s="1014"/>
      <c r="K132" s="1018"/>
      <c r="L132" s="1018" t="s">
        <v>264</v>
      </c>
      <c r="M132" s="1014"/>
      <c r="N132" s="1014"/>
    </row>
    <row r="133" spans="1:14" s="956" customFormat="1" ht="18" customHeight="1" x14ac:dyDescent="0.25">
      <c r="A133" s="954"/>
      <c r="B133" s="953"/>
      <c r="C133" s="954"/>
      <c r="F133" s="953"/>
      <c r="G133" s="1103"/>
      <c r="H133" s="1103"/>
      <c r="I133" s="1099"/>
      <c r="J133" s="1099"/>
      <c r="K133" s="1014"/>
      <c r="L133" s="1019"/>
      <c r="M133" s="1014"/>
      <c r="N133" s="1014"/>
    </row>
    <row r="134" spans="1:14" s="956" customFormat="1" ht="18" customHeight="1" x14ac:dyDescent="0.25">
      <c r="A134" s="953"/>
      <c r="B134" s="953"/>
      <c r="C134" s="953"/>
      <c r="D134" s="1020"/>
      <c r="E134" s="1020"/>
      <c r="F134" s="1021" t="s">
        <v>1494</v>
      </c>
      <c r="G134" s="1022"/>
      <c r="H134" s="1023"/>
      <c r="I134" s="1100" t="s">
        <v>17</v>
      </c>
      <c r="J134" s="1100"/>
      <c r="K134" s="1023"/>
      <c r="L134" s="1100" t="s">
        <v>1495</v>
      </c>
      <c r="M134" s="1100"/>
      <c r="N134" s="1023"/>
    </row>
    <row r="135" spans="1:14" s="956" customFormat="1" ht="18" customHeight="1" x14ac:dyDescent="0.25">
      <c r="A135" s="954"/>
      <c r="B135" s="953"/>
      <c r="C135" s="954"/>
      <c r="D135" s="954"/>
      <c r="E135" s="954"/>
      <c r="F135" s="1013" t="s">
        <v>23</v>
      </c>
      <c r="G135" s="1025"/>
      <c r="H135" s="1025"/>
      <c r="I135" s="1101" t="s">
        <v>18</v>
      </c>
      <c r="J135" s="1101"/>
      <c r="K135" s="1026"/>
      <c r="L135" s="1102" t="s">
        <v>14</v>
      </c>
      <c r="M135" s="1102"/>
      <c r="N135" s="1026"/>
    </row>
    <row r="136" spans="1:14" s="956" customFormat="1" ht="18" customHeight="1" x14ac:dyDescent="0.25">
      <c r="A136" s="954"/>
      <c r="B136" s="953"/>
      <c r="C136" s="954"/>
      <c r="D136" s="954"/>
      <c r="E136" s="954"/>
      <c r="F136" s="954"/>
      <c r="G136" s="1025"/>
      <c r="H136" s="1013"/>
      <c r="I136" s="1013"/>
      <c r="K136" s="1027"/>
      <c r="L136" s="1027"/>
      <c r="M136" s="1014"/>
    </row>
    <row r="137" spans="1:14" s="956" customFormat="1" ht="18" customHeight="1" x14ac:dyDescent="0.25">
      <c r="A137" s="954"/>
      <c r="B137" s="953"/>
      <c r="C137" s="954"/>
      <c r="D137" s="954"/>
      <c r="E137" s="954"/>
      <c r="F137" s="954"/>
      <c r="G137" s="1025"/>
      <c r="H137" s="1013"/>
      <c r="I137" s="1013"/>
      <c r="K137" s="1027"/>
      <c r="L137" s="1027"/>
      <c r="M137" s="1014"/>
    </row>
    <row r="138" spans="1:14" s="956" customFormat="1" ht="18" customHeight="1" x14ac:dyDescent="0.25">
      <c r="A138" s="954"/>
      <c r="B138" s="953"/>
      <c r="C138" s="954"/>
      <c r="D138" s="954"/>
      <c r="E138" s="954"/>
      <c r="F138" s="954"/>
      <c r="G138" s="1025"/>
      <c r="H138" s="1013"/>
      <c r="I138" s="1013"/>
      <c r="K138" s="1027"/>
      <c r="L138" s="1027"/>
      <c r="M138" s="1014"/>
    </row>
    <row r="139" spans="1:14" s="956" customFormat="1" ht="20.100000000000001" customHeight="1" x14ac:dyDescent="0.35">
      <c r="A139" s="1095" t="s">
        <v>647</v>
      </c>
      <c r="B139" s="1095"/>
      <c r="C139" s="1095"/>
      <c r="D139" s="1095"/>
      <c r="E139" s="1095"/>
      <c r="F139" s="1095"/>
      <c r="G139" s="1095"/>
      <c r="H139" s="1095"/>
      <c r="I139" s="1095"/>
      <c r="J139" s="1095"/>
      <c r="K139" s="1095"/>
      <c r="L139" s="1095"/>
      <c r="M139" s="1095"/>
    </row>
    <row r="140" spans="1:14" s="956" customFormat="1" ht="18" customHeight="1" x14ac:dyDescent="0.25">
      <c r="A140" s="953"/>
      <c r="B140" s="954"/>
      <c r="C140" s="954"/>
      <c r="D140" s="954"/>
      <c r="E140" s="954"/>
      <c r="F140" s="954"/>
      <c r="G140" s="954"/>
      <c r="H140" s="954"/>
      <c r="I140" s="954"/>
      <c r="J140" s="954"/>
      <c r="K140" s="954"/>
      <c r="L140" s="954"/>
      <c r="M140" s="955"/>
    </row>
    <row r="141" spans="1:14" s="956" customFormat="1" ht="18" customHeight="1" x14ac:dyDescent="0.25">
      <c r="A141" s="1087" t="s">
        <v>21</v>
      </c>
      <c r="B141" s="1087"/>
      <c r="C141" s="1087"/>
      <c r="D141" s="1087"/>
      <c r="E141" s="1087"/>
      <c r="F141" s="1087"/>
      <c r="G141" s="1087"/>
      <c r="H141" s="1087"/>
      <c r="I141" s="1087"/>
      <c r="J141" s="1087"/>
      <c r="K141" s="1087"/>
      <c r="L141" s="1087"/>
      <c r="M141" s="1087"/>
    </row>
    <row r="142" spans="1:14" s="956" customFormat="1" ht="18" customHeight="1" x14ac:dyDescent="0.25">
      <c r="A142" s="1087" t="s">
        <v>364</v>
      </c>
      <c r="B142" s="1087"/>
      <c r="C142" s="1087"/>
      <c r="D142" s="1087"/>
      <c r="E142" s="1087"/>
      <c r="F142" s="1087"/>
      <c r="G142" s="1087"/>
      <c r="H142" s="1087"/>
      <c r="I142" s="1087"/>
      <c r="J142" s="1087"/>
      <c r="K142" s="1087"/>
      <c r="L142" s="1087"/>
      <c r="M142" s="1087"/>
    </row>
    <row r="143" spans="1:14" s="956" customFormat="1" ht="18" customHeight="1" x14ac:dyDescent="0.25">
      <c r="A143" s="957"/>
      <c r="B143" s="957"/>
      <c r="C143" s="957"/>
      <c r="D143" s="957"/>
      <c r="E143" s="957"/>
      <c r="F143" s="957"/>
      <c r="G143" s="957"/>
      <c r="H143" s="957"/>
      <c r="I143" s="957"/>
      <c r="J143" s="957"/>
      <c r="K143" s="957"/>
      <c r="L143" s="957"/>
      <c r="M143" s="957"/>
    </row>
    <row r="144" spans="1:14" s="956" customFormat="1" ht="18" customHeight="1" x14ac:dyDescent="0.25">
      <c r="A144" s="958" t="s">
        <v>1721</v>
      </c>
      <c r="B144" s="957"/>
      <c r="C144" s="959"/>
      <c r="D144" s="957"/>
      <c r="E144" s="957"/>
      <c r="F144" s="957"/>
      <c r="G144" s="957"/>
      <c r="H144" s="957"/>
      <c r="I144" s="957"/>
      <c r="J144" s="957"/>
      <c r="K144" s="957"/>
      <c r="L144" s="957"/>
      <c r="M144" s="957"/>
    </row>
    <row r="145" spans="1:13" s="956" customFormat="1" ht="18" customHeight="1" thickBot="1" x14ac:dyDescent="0.3">
      <c r="A145" s="1087"/>
      <c r="B145" s="1087"/>
      <c r="C145" s="1087"/>
      <c r="D145" s="1087"/>
      <c r="E145" s="1087"/>
      <c r="F145" s="1087"/>
      <c r="G145" s="1087"/>
      <c r="H145" s="1087"/>
      <c r="I145" s="1087"/>
      <c r="J145" s="1087"/>
      <c r="K145" s="1087"/>
      <c r="L145" s="1087"/>
      <c r="M145" s="1087"/>
    </row>
    <row r="146" spans="1:13" ht="18" customHeight="1" x14ac:dyDescent="0.2">
      <c r="A146" s="961"/>
      <c r="B146" s="962"/>
      <c r="C146" s="962"/>
      <c r="D146" s="962"/>
      <c r="E146" s="962"/>
      <c r="F146" s="963"/>
      <c r="G146" s="964"/>
      <c r="H146" s="965"/>
      <c r="I146" s="965"/>
      <c r="J146" s="1089" t="s">
        <v>633</v>
      </c>
      <c r="K146" s="1090"/>
      <c r="L146" s="1091"/>
      <c r="M146" s="966"/>
    </row>
    <row r="147" spans="1:13" ht="18" customHeight="1" x14ac:dyDescent="0.2">
      <c r="A147" s="1092"/>
      <c r="B147" s="1093"/>
      <c r="C147" s="1093"/>
      <c r="D147" s="1093"/>
      <c r="E147" s="1093"/>
      <c r="F147" s="1094"/>
      <c r="G147" s="967"/>
      <c r="H147" s="968"/>
      <c r="I147" s="968" t="s">
        <v>6</v>
      </c>
      <c r="J147" s="968" t="s">
        <v>580</v>
      </c>
      <c r="K147" s="968" t="s">
        <v>581</v>
      </c>
      <c r="L147" s="968"/>
      <c r="M147" s="969" t="s">
        <v>7</v>
      </c>
    </row>
    <row r="148" spans="1:13" ht="18" customHeight="1" x14ac:dyDescent="0.25">
      <c r="A148" s="1092" t="s">
        <v>22</v>
      </c>
      <c r="B148" s="1093"/>
      <c r="C148" s="1093"/>
      <c r="D148" s="1093"/>
      <c r="E148" s="1093"/>
      <c r="F148" s="1094"/>
      <c r="G148" s="970"/>
      <c r="H148" s="971" t="s">
        <v>634</v>
      </c>
      <c r="I148" s="968" t="s">
        <v>579</v>
      </c>
      <c r="J148" s="968" t="s">
        <v>579</v>
      </c>
      <c r="K148" s="968" t="s">
        <v>582</v>
      </c>
      <c r="L148" s="968" t="s">
        <v>15</v>
      </c>
      <c r="M148" s="969" t="s">
        <v>584</v>
      </c>
    </row>
    <row r="149" spans="1:13" ht="18" customHeight="1" x14ac:dyDescent="0.2">
      <c r="A149" s="972"/>
      <c r="B149" s="973"/>
      <c r="C149" s="973"/>
      <c r="D149" s="973"/>
      <c r="E149" s="973"/>
      <c r="F149" s="974"/>
      <c r="G149" s="970"/>
      <c r="H149" s="968"/>
      <c r="I149" s="968">
        <v>2019</v>
      </c>
      <c r="J149" s="968">
        <v>2020</v>
      </c>
      <c r="K149" s="968">
        <v>2020</v>
      </c>
      <c r="L149" s="968">
        <v>2020</v>
      </c>
      <c r="M149" s="969">
        <v>2021</v>
      </c>
    </row>
    <row r="150" spans="1:13" ht="18" customHeight="1" thickBot="1" x14ac:dyDescent="0.25">
      <c r="A150" s="1096"/>
      <c r="B150" s="1097"/>
      <c r="C150" s="1097"/>
      <c r="D150" s="1097"/>
      <c r="E150" s="1097"/>
      <c r="F150" s="1098"/>
      <c r="G150" s="975"/>
      <c r="H150" s="976"/>
      <c r="I150" s="976"/>
      <c r="J150" s="976"/>
      <c r="K150" s="976"/>
      <c r="L150" s="976"/>
      <c r="M150" s="977"/>
    </row>
    <row r="151" spans="1:13" ht="18" customHeight="1" x14ac:dyDescent="0.25">
      <c r="A151" s="978"/>
      <c r="B151" s="979" t="s">
        <v>372</v>
      </c>
      <c r="C151" s="980"/>
      <c r="D151" s="979"/>
      <c r="E151" s="979"/>
      <c r="F151" s="981"/>
      <c r="G151" s="982"/>
      <c r="H151" s="1028"/>
      <c r="I151" s="1037"/>
      <c r="J151" s="1038"/>
      <c r="K151" s="1038"/>
      <c r="L151" s="1038"/>
      <c r="M151" s="1038"/>
    </row>
    <row r="152" spans="1:13" ht="18" customHeight="1" x14ac:dyDescent="0.25">
      <c r="A152" s="986"/>
      <c r="B152" s="987"/>
      <c r="C152" s="987" t="s">
        <v>532</v>
      </c>
      <c r="D152" s="987"/>
      <c r="E152" s="987"/>
      <c r="F152" s="988"/>
      <c r="G152" s="989"/>
      <c r="H152" s="1031"/>
      <c r="I152" s="1039"/>
      <c r="J152" s="1040"/>
      <c r="K152" s="1040"/>
      <c r="L152" s="1040"/>
      <c r="M152" s="1040"/>
    </row>
    <row r="153" spans="1:13" ht="18" customHeight="1" x14ac:dyDescent="0.25">
      <c r="A153" s="986"/>
      <c r="B153" s="987"/>
      <c r="C153" s="987"/>
      <c r="D153" s="987" t="s">
        <v>533</v>
      </c>
      <c r="E153" s="987"/>
      <c r="F153" s="988"/>
      <c r="G153" s="989" t="s">
        <v>603</v>
      </c>
      <c r="H153" s="993" t="s">
        <v>698</v>
      </c>
      <c r="I153" s="994">
        <v>1159176</v>
      </c>
      <c r="J153" s="995">
        <v>530688</v>
      </c>
      <c r="K153" s="995">
        <f>1216648-J153</f>
        <v>685960</v>
      </c>
      <c r="L153" s="995">
        <f>SUM(K153+J153)</f>
        <v>1216648</v>
      </c>
      <c r="M153" s="995">
        <v>1470672</v>
      </c>
    </row>
    <row r="154" spans="1:13" ht="18" customHeight="1" x14ac:dyDescent="0.25">
      <c r="A154" s="986"/>
      <c r="B154" s="987"/>
      <c r="C154" s="987" t="s">
        <v>534</v>
      </c>
      <c r="D154" s="987"/>
      <c r="E154" s="987"/>
      <c r="F154" s="988"/>
      <c r="G154" s="989"/>
      <c r="H154" s="996"/>
      <c r="I154" s="994"/>
      <c r="J154" s="995"/>
      <c r="K154" s="995"/>
      <c r="L154" s="995"/>
      <c r="M154" s="995"/>
    </row>
    <row r="155" spans="1:13" ht="18" customHeight="1" x14ac:dyDescent="0.25">
      <c r="A155" s="986"/>
      <c r="B155" s="987"/>
      <c r="C155" s="987"/>
      <c r="D155" s="987" t="s">
        <v>535</v>
      </c>
      <c r="E155" s="987"/>
      <c r="F155" s="988"/>
      <c r="G155" s="989" t="s">
        <v>604</v>
      </c>
      <c r="H155" s="993" t="s">
        <v>699</v>
      </c>
      <c r="I155" s="994">
        <v>72000</v>
      </c>
      <c r="J155" s="995">
        <v>26000</v>
      </c>
      <c r="K155" s="995">
        <f>72000-J155</f>
        <v>46000</v>
      </c>
      <c r="L155" s="995">
        <f t="shared" ref="L155:L170" si="5">SUM(K155+J155)</f>
        <v>72000</v>
      </c>
      <c r="M155" s="995">
        <v>96000</v>
      </c>
    </row>
    <row r="156" spans="1:13" ht="18" customHeight="1" x14ac:dyDescent="0.25">
      <c r="A156" s="986"/>
      <c r="B156" s="987"/>
      <c r="C156" s="987"/>
      <c r="D156" s="987" t="s">
        <v>546</v>
      </c>
      <c r="E156" s="987"/>
      <c r="F156" s="988"/>
      <c r="G156" s="989" t="s">
        <v>605</v>
      </c>
      <c r="H156" s="993" t="s">
        <v>700</v>
      </c>
      <c r="I156" s="994">
        <v>76500</v>
      </c>
      <c r="J156" s="995">
        <v>38250</v>
      </c>
      <c r="K156" s="995">
        <f>76500-J156</f>
        <v>38250</v>
      </c>
      <c r="L156" s="995">
        <f t="shared" si="5"/>
        <v>76500</v>
      </c>
      <c r="M156" s="995">
        <v>76500</v>
      </c>
    </row>
    <row r="157" spans="1:13" ht="18" customHeight="1" x14ac:dyDescent="0.25">
      <c r="A157" s="986"/>
      <c r="B157" s="987"/>
      <c r="C157" s="987"/>
      <c r="D157" s="987" t="s">
        <v>545</v>
      </c>
      <c r="E157" s="987"/>
      <c r="F157" s="988"/>
      <c r="G157" s="989" t="s">
        <v>606</v>
      </c>
      <c r="H157" s="993" t="s">
        <v>701</v>
      </c>
      <c r="I157" s="994">
        <v>76500</v>
      </c>
      <c r="J157" s="995">
        <v>38250</v>
      </c>
      <c r="K157" s="995">
        <f>76500-J157</f>
        <v>38250</v>
      </c>
      <c r="L157" s="995">
        <f t="shared" si="5"/>
        <v>76500</v>
      </c>
      <c r="M157" s="995">
        <v>76500</v>
      </c>
    </row>
    <row r="158" spans="1:13" ht="18" customHeight="1" x14ac:dyDescent="0.25">
      <c r="A158" s="986"/>
      <c r="B158" s="987"/>
      <c r="C158" s="987"/>
      <c r="D158" s="987" t="s">
        <v>547</v>
      </c>
      <c r="E158" s="987"/>
      <c r="F158" s="988"/>
      <c r="G158" s="989" t="s">
        <v>607</v>
      </c>
      <c r="H158" s="993" t="s">
        <v>702</v>
      </c>
      <c r="I158" s="994">
        <v>18000</v>
      </c>
      <c r="J158" s="995">
        <v>12000</v>
      </c>
      <c r="K158" s="995">
        <f>18000-J158</f>
        <v>6000</v>
      </c>
      <c r="L158" s="995">
        <f t="shared" si="5"/>
        <v>18000</v>
      </c>
      <c r="M158" s="995">
        <v>24000</v>
      </c>
    </row>
    <row r="159" spans="1:13" ht="18" customHeight="1" x14ac:dyDescent="0.25">
      <c r="A159" s="986"/>
      <c r="B159" s="987"/>
      <c r="C159" s="987"/>
      <c r="D159" s="987" t="s">
        <v>696</v>
      </c>
      <c r="E159" s="987"/>
      <c r="F159" s="988"/>
      <c r="G159" s="989" t="s">
        <v>609</v>
      </c>
      <c r="H159" s="993" t="s">
        <v>703</v>
      </c>
      <c r="I159" s="994">
        <v>15000</v>
      </c>
      <c r="J159" s="995">
        <v>0</v>
      </c>
      <c r="K159" s="995">
        <f>15000-J159</f>
        <v>15000</v>
      </c>
      <c r="L159" s="995">
        <f t="shared" si="5"/>
        <v>15000</v>
      </c>
      <c r="M159" s="995">
        <v>20000</v>
      </c>
    </row>
    <row r="160" spans="1:13" ht="18" customHeight="1" x14ac:dyDescent="0.25">
      <c r="A160" s="986"/>
      <c r="B160" s="987"/>
      <c r="C160" s="987"/>
      <c r="D160" s="987" t="s">
        <v>549</v>
      </c>
      <c r="E160" s="987"/>
      <c r="F160" s="988"/>
      <c r="G160" s="989" t="s">
        <v>440</v>
      </c>
      <c r="H160" s="993" t="s">
        <v>704</v>
      </c>
      <c r="I160" s="994">
        <v>0</v>
      </c>
      <c r="J160" s="995">
        <v>0</v>
      </c>
      <c r="K160" s="995">
        <f>10000-J160</f>
        <v>10000</v>
      </c>
      <c r="L160" s="995">
        <f t="shared" si="5"/>
        <v>10000</v>
      </c>
      <c r="M160" s="995">
        <v>0</v>
      </c>
    </row>
    <row r="161" spans="1:13" ht="18" customHeight="1" x14ac:dyDescent="0.25">
      <c r="A161" s="986"/>
      <c r="B161" s="987"/>
      <c r="C161" s="987"/>
      <c r="D161" s="987" t="s">
        <v>1562</v>
      </c>
      <c r="E161" s="987"/>
      <c r="F161" s="988"/>
      <c r="G161" s="989"/>
      <c r="H161" s="993" t="s">
        <v>704</v>
      </c>
      <c r="I161" s="994">
        <v>47040.65</v>
      </c>
      <c r="J161" s="995">
        <v>60791.6</v>
      </c>
      <c r="K161" s="995">
        <f>60791.6-J161</f>
        <v>0</v>
      </c>
      <c r="L161" s="995">
        <f t="shared" si="5"/>
        <v>60791.6</v>
      </c>
      <c r="M161" s="995">
        <v>0</v>
      </c>
    </row>
    <row r="162" spans="1:13" ht="18" customHeight="1" x14ac:dyDescent="0.25">
      <c r="A162" s="986"/>
      <c r="B162" s="987"/>
      <c r="C162" s="987"/>
      <c r="D162" s="987" t="s">
        <v>552</v>
      </c>
      <c r="E162" s="987"/>
      <c r="F162" s="988"/>
      <c r="G162" s="989" t="s">
        <v>612</v>
      </c>
      <c r="H162" s="993" t="s">
        <v>705</v>
      </c>
      <c r="I162" s="994">
        <v>15000</v>
      </c>
      <c r="J162" s="995">
        <v>0</v>
      </c>
      <c r="K162" s="995">
        <f>15000-J162</f>
        <v>15000</v>
      </c>
      <c r="L162" s="995">
        <f t="shared" si="5"/>
        <v>15000</v>
      </c>
      <c r="M162" s="995">
        <v>20000</v>
      </c>
    </row>
    <row r="163" spans="1:13" ht="18" customHeight="1" x14ac:dyDescent="0.25">
      <c r="A163" s="986"/>
      <c r="B163" s="987"/>
      <c r="C163" s="987"/>
      <c r="D163" s="987" t="s">
        <v>816</v>
      </c>
      <c r="E163" s="987"/>
      <c r="F163" s="987"/>
      <c r="G163" s="997" t="s">
        <v>440</v>
      </c>
      <c r="H163" s="993" t="s">
        <v>704</v>
      </c>
      <c r="I163" s="994">
        <v>96598</v>
      </c>
      <c r="J163" s="995">
        <v>86429</v>
      </c>
      <c r="K163" s="995">
        <f>101526-J163</f>
        <v>15097</v>
      </c>
      <c r="L163" s="995">
        <f t="shared" si="5"/>
        <v>101526</v>
      </c>
      <c r="M163" s="995">
        <v>122556</v>
      </c>
    </row>
    <row r="164" spans="1:13" ht="18" customHeight="1" x14ac:dyDescent="0.25">
      <c r="A164" s="986"/>
      <c r="B164" s="987"/>
      <c r="C164" s="987"/>
      <c r="D164" s="987" t="s">
        <v>553</v>
      </c>
      <c r="E164" s="987"/>
      <c r="F164" s="988"/>
      <c r="G164" s="989" t="s">
        <v>613</v>
      </c>
      <c r="H164" s="993" t="s">
        <v>706</v>
      </c>
      <c r="I164" s="994">
        <v>96598</v>
      </c>
      <c r="J164" s="995">
        <v>0</v>
      </c>
      <c r="K164" s="995">
        <f>101704-J164</f>
        <v>101704</v>
      </c>
      <c r="L164" s="995">
        <f t="shared" si="5"/>
        <v>101704</v>
      </c>
      <c r="M164" s="995">
        <v>122556</v>
      </c>
    </row>
    <row r="165" spans="1:13" ht="18" customHeight="1" x14ac:dyDescent="0.25">
      <c r="A165" s="986"/>
      <c r="B165" s="987"/>
      <c r="C165" s="987"/>
      <c r="D165" s="987" t="s">
        <v>669</v>
      </c>
      <c r="E165" s="987"/>
      <c r="F165" s="988"/>
      <c r="G165" s="989" t="s">
        <v>614</v>
      </c>
      <c r="H165" s="993" t="s">
        <v>707</v>
      </c>
      <c r="I165" s="994">
        <f>125187.12+13914</f>
        <v>139101.12</v>
      </c>
      <c r="J165" s="995">
        <v>51568.08</v>
      </c>
      <c r="K165" s="995">
        <f>146400-J165</f>
        <v>94831.92</v>
      </c>
      <c r="L165" s="995">
        <f t="shared" si="5"/>
        <v>146400</v>
      </c>
      <c r="M165" s="995">
        <v>177500</v>
      </c>
    </row>
    <row r="166" spans="1:13" ht="18" customHeight="1" x14ac:dyDescent="0.25">
      <c r="A166" s="986"/>
      <c r="B166" s="987"/>
      <c r="C166" s="987"/>
      <c r="D166" s="987" t="s">
        <v>554</v>
      </c>
      <c r="E166" s="987"/>
      <c r="F166" s="988"/>
      <c r="G166" s="989" t="s">
        <v>615</v>
      </c>
      <c r="H166" s="993" t="s">
        <v>708</v>
      </c>
      <c r="I166" s="994">
        <v>3600</v>
      </c>
      <c r="J166" s="995">
        <v>1100</v>
      </c>
      <c r="K166" s="995">
        <f>3600-J166</f>
        <v>2500</v>
      </c>
      <c r="L166" s="995">
        <f t="shared" si="5"/>
        <v>3600</v>
      </c>
      <c r="M166" s="995">
        <v>7200</v>
      </c>
    </row>
    <row r="167" spans="1:13" ht="18" customHeight="1" x14ac:dyDescent="0.25">
      <c r="A167" s="986"/>
      <c r="B167" s="987"/>
      <c r="C167" s="987"/>
      <c r="D167" s="987" t="s">
        <v>555</v>
      </c>
      <c r="E167" s="987"/>
      <c r="F167" s="988"/>
      <c r="G167" s="989" t="s">
        <v>616</v>
      </c>
      <c r="H167" s="993" t="s">
        <v>709</v>
      </c>
      <c r="I167" s="994">
        <v>10670</v>
      </c>
      <c r="J167" s="995">
        <v>5520</v>
      </c>
      <c r="K167" s="995">
        <f>18700-J167</f>
        <v>13180</v>
      </c>
      <c r="L167" s="995">
        <f t="shared" si="5"/>
        <v>18700</v>
      </c>
      <c r="M167" s="995">
        <v>26300</v>
      </c>
    </row>
    <row r="168" spans="1:13" ht="18" customHeight="1" x14ac:dyDescent="0.25">
      <c r="A168" s="986"/>
      <c r="B168" s="987"/>
      <c r="C168" s="987"/>
      <c r="D168" s="987" t="s">
        <v>665</v>
      </c>
      <c r="E168" s="987"/>
      <c r="F168" s="988"/>
      <c r="G168" s="989" t="s">
        <v>617</v>
      </c>
      <c r="H168" s="993" t="s">
        <v>710</v>
      </c>
      <c r="I168" s="994">
        <f>3300+300</f>
        <v>3600</v>
      </c>
      <c r="J168" s="995">
        <v>1100</v>
      </c>
      <c r="K168" s="995">
        <f>3600-J168</f>
        <v>2500</v>
      </c>
      <c r="L168" s="995">
        <f t="shared" si="5"/>
        <v>3600</v>
      </c>
      <c r="M168" s="995">
        <v>4800</v>
      </c>
    </row>
    <row r="169" spans="1:13" ht="18" customHeight="1" x14ac:dyDescent="0.25">
      <c r="A169" s="986"/>
      <c r="B169" s="987"/>
      <c r="C169" s="987"/>
      <c r="D169" s="987" t="s">
        <v>557</v>
      </c>
      <c r="E169" s="987"/>
      <c r="F169" s="988"/>
      <c r="G169" s="989" t="s">
        <v>403</v>
      </c>
      <c r="H169" s="993" t="s">
        <v>722</v>
      </c>
      <c r="I169" s="994">
        <v>0</v>
      </c>
      <c r="J169" s="995">
        <v>331168.48</v>
      </c>
      <c r="K169" s="995">
        <f>331168.48-J169</f>
        <v>0</v>
      </c>
      <c r="L169" s="995">
        <f t="shared" si="5"/>
        <v>331168.48</v>
      </c>
      <c r="M169" s="995">
        <v>0</v>
      </c>
    </row>
    <row r="170" spans="1:13" ht="18" customHeight="1" x14ac:dyDescent="0.25">
      <c r="A170" s="986"/>
      <c r="B170" s="987"/>
      <c r="C170" s="987"/>
      <c r="D170" s="987" t="s">
        <v>1563</v>
      </c>
      <c r="E170" s="987"/>
      <c r="F170" s="988"/>
      <c r="G170" s="989"/>
      <c r="H170" s="993" t="s">
        <v>722</v>
      </c>
      <c r="I170" s="994">
        <v>30000</v>
      </c>
      <c r="J170" s="995">
        <v>0</v>
      </c>
      <c r="K170" s="995">
        <v>0</v>
      </c>
      <c r="L170" s="995">
        <f t="shared" si="5"/>
        <v>0</v>
      </c>
      <c r="M170" s="995">
        <v>0</v>
      </c>
    </row>
    <row r="171" spans="1:13" s="1003" customFormat="1" ht="18" customHeight="1" x14ac:dyDescent="0.25">
      <c r="A171" s="998"/>
      <c r="B171" s="999"/>
      <c r="C171" s="999"/>
      <c r="D171" s="999" t="s">
        <v>377</v>
      </c>
      <c r="E171" s="999"/>
      <c r="F171" s="1000"/>
      <c r="G171" s="1001"/>
      <c r="H171" s="990"/>
      <c r="I171" s="1002">
        <f>SUM(I153:I170)</f>
        <v>1859383.77</v>
      </c>
      <c r="J171" s="1002">
        <f>SUM(J153:J170)</f>
        <v>1182865.1599999999</v>
      </c>
      <c r="K171" s="1002">
        <f>SUM(K153:K170)</f>
        <v>1084272.92</v>
      </c>
      <c r="L171" s="1002">
        <f>SUM(L153:L170)</f>
        <v>2267138.08</v>
      </c>
      <c r="M171" s="1002">
        <f>SUM(M153:M170)</f>
        <v>2244584</v>
      </c>
    </row>
    <row r="172" spans="1:13" ht="18" customHeight="1" x14ac:dyDescent="0.25">
      <c r="A172" s="986"/>
      <c r="B172" s="987" t="s">
        <v>558</v>
      </c>
      <c r="C172" s="987"/>
      <c r="D172" s="987"/>
      <c r="E172" s="987"/>
      <c r="F172" s="988"/>
      <c r="G172" s="989"/>
      <c r="H172" s="996"/>
      <c r="I172" s="994"/>
      <c r="J172" s="995"/>
      <c r="K172" s="995"/>
      <c r="L172" s="995"/>
      <c r="M172" s="995"/>
    </row>
    <row r="173" spans="1:13" ht="18" customHeight="1" x14ac:dyDescent="0.25">
      <c r="A173" s="986"/>
      <c r="B173" s="987"/>
      <c r="C173" s="987"/>
      <c r="D173" s="987" t="s">
        <v>559</v>
      </c>
      <c r="E173" s="987"/>
      <c r="F173" s="988"/>
      <c r="G173" s="989" t="s">
        <v>390</v>
      </c>
      <c r="H173" s="993" t="s">
        <v>712</v>
      </c>
      <c r="I173" s="994">
        <v>43800</v>
      </c>
      <c r="J173" s="995">
        <v>300</v>
      </c>
      <c r="K173" s="995">
        <f>100000-J173</f>
        <v>99700</v>
      </c>
      <c r="L173" s="995">
        <f t="shared" ref="L173:L178" si="6">SUM(K173+J173)</f>
        <v>100000</v>
      </c>
      <c r="M173" s="995">
        <f>100000-12000</f>
        <v>88000</v>
      </c>
    </row>
    <row r="174" spans="1:13" ht="18" customHeight="1" x14ac:dyDescent="0.25">
      <c r="A174" s="986"/>
      <c r="B174" s="987"/>
      <c r="C174" s="987"/>
      <c r="D174" s="987" t="s">
        <v>436</v>
      </c>
      <c r="E174" s="987"/>
      <c r="F174" s="988"/>
      <c r="G174" s="989" t="s">
        <v>391</v>
      </c>
      <c r="H174" s="993" t="s">
        <v>713</v>
      </c>
      <c r="I174" s="994">
        <v>19100</v>
      </c>
      <c r="J174" s="995">
        <v>0</v>
      </c>
      <c r="K174" s="995">
        <f>100000-J174</f>
        <v>100000</v>
      </c>
      <c r="L174" s="995">
        <f t="shared" si="6"/>
        <v>100000</v>
      </c>
      <c r="M174" s="995">
        <v>100000</v>
      </c>
    </row>
    <row r="175" spans="1:13" ht="18" customHeight="1" x14ac:dyDescent="0.25">
      <c r="A175" s="986"/>
      <c r="B175" s="987"/>
      <c r="C175" s="987"/>
      <c r="D175" s="987" t="s">
        <v>384</v>
      </c>
      <c r="E175" s="987"/>
      <c r="F175" s="988"/>
      <c r="G175" s="989" t="s">
        <v>393</v>
      </c>
      <c r="H175" s="993" t="s">
        <v>714</v>
      </c>
      <c r="I175" s="994">
        <f>93943.92+11500</f>
        <v>105443.92</v>
      </c>
      <c r="J175" s="995">
        <v>26775</v>
      </c>
      <c r="K175" s="995">
        <f>208073-J175</f>
        <v>181298</v>
      </c>
      <c r="L175" s="995">
        <f t="shared" si="6"/>
        <v>208073</v>
      </c>
      <c r="M175" s="995">
        <f>209607-20000</f>
        <v>189607</v>
      </c>
    </row>
    <row r="176" spans="1:13" ht="18" customHeight="1" x14ac:dyDescent="0.25">
      <c r="A176" s="986"/>
      <c r="B176" s="987"/>
      <c r="C176" s="987"/>
      <c r="D176" s="987" t="s">
        <v>565</v>
      </c>
      <c r="E176" s="987"/>
      <c r="F176" s="988"/>
      <c r="G176" s="989" t="s">
        <v>394</v>
      </c>
      <c r="H176" s="993" t="s">
        <v>716</v>
      </c>
      <c r="I176" s="994">
        <v>24000</v>
      </c>
      <c r="J176" s="995">
        <v>12000</v>
      </c>
      <c r="K176" s="995">
        <f>24000-J176</f>
        <v>12000</v>
      </c>
      <c r="L176" s="995">
        <f t="shared" si="6"/>
        <v>24000</v>
      </c>
      <c r="M176" s="995">
        <f>24000+12000</f>
        <v>36000</v>
      </c>
    </row>
    <row r="177" spans="1:14" ht="18" customHeight="1" x14ac:dyDescent="0.25">
      <c r="A177" s="986"/>
      <c r="B177" s="987"/>
      <c r="C177" s="987"/>
      <c r="D177" s="987" t="s">
        <v>945</v>
      </c>
      <c r="E177" s="987"/>
      <c r="F177" s="988"/>
      <c r="G177" s="989" t="s">
        <v>395</v>
      </c>
      <c r="H177" s="993" t="s">
        <v>717</v>
      </c>
      <c r="I177" s="994">
        <v>5416.96</v>
      </c>
      <c r="J177" s="995">
        <v>350</v>
      </c>
      <c r="K177" s="995">
        <f>15000-J177</f>
        <v>14650</v>
      </c>
      <c r="L177" s="995">
        <f t="shared" si="6"/>
        <v>15000</v>
      </c>
      <c r="M177" s="995">
        <v>15000</v>
      </c>
    </row>
    <row r="178" spans="1:14" ht="18" customHeight="1" x14ac:dyDescent="0.25">
      <c r="A178" s="986"/>
      <c r="B178" s="987"/>
      <c r="C178" s="987"/>
      <c r="D178" s="987" t="s">
        <v>572</v>
      </c>
      <c r="E178" s="987"/>
      <c r="F178" s="988"/>
      <c r="G178" s="989" t="s">
        <v>396</v>
      </c>
      <c r="H178" s="993" t="s">
        <v>718</v>
      </c>
      <c r="I178" s="994">
        <v>76000</v>
      </c>
      <c r="J178" s="995">
        <v>0</v>
      </c>
      <c r="K178" s="995">
        <f>30000-J178</f>
        <v>30000</v>
      </c>
      <c r="L178" s="995">
        <f t="shared" si="6"/>
        <v>30000</v>
      </c>
      <c r="M178" s="995">
        <v>30000</v>
      </c>
    </row>
    <row r="179" spans="1:14" s="1003" customFormat="1" ht="18" customHeight="1" x14ac:dyDescent="0.25">
      <c r="A179" s="998"/>
      <c r="B179" s="999"/>
      <c r="C179" s="999"/>
      <c r="D179" s="999" t="s">
        <v>763</v>
      </c>
      <c r="E179" s="999"/>
      <c r="F179" s="1000"/>
      <c r="G179" s="1001"/>
      <c r="H179" s="990"/>
      <c r="I179" s="1002">
        <f>SUM(I173:I178)</f>
        <v>273760.88</v>
      </c>
      <c r="J179" s="1002">
        <f>SUM(J173:J178)</f>
        <v>39425</v>
      </c>
      <c r="K179" s="1002">
        <f>SUM(K173:K178)</f>
        <v>437648</v>
      </c>
      <c r="L179" s="1002">
        <f>SUM(L173:L178)</f>
        <v>477073</v>
      </c>
      <c r="M179" s="1002">
        <f>SUM(M173:M178)</f>
        <v>458607</v>
      </c>
    </row>
    <row r="180" spans="1:14" ht="18" customHeight="1" x14ac:dyDescent="0.25">
      <c r="A180" s="986"/>
      <c r="B180" s="987" t="s">
        <v>573</v>
      </c>
      <c r="C180" s="987"/>
      <c r="D180" s="987"/>
      <c r="E180" s="987"/>
      <c r="F180" s="988"/>
      <c r="G180" s="989"/>
      <c r="H180" s="996"/>
      <c r="I180" s="994"/>
      <c r="J180" s="995"/>
      <c r="K180" s="995"/>
      <c r="L180" s="995"/>
      <c r="M180" s="995"/>
    </row>
    <row r="181" spans="1:14" ht="18" customHeight="1" x14ac:dyDescent="0.25">
      <c r="A181" s="986"/>
      <c r="B181" s="987"/>
      <c r="C181" s="987"/>
      <c r="D181" s="987" t="s">
        <v>697</v>
      </c>
      <c r="E181" s="987"/>
      <c r="F181" s="988"/>
      <c r="G181" s="989" t="s">
        <v>859</v>
      </c>
      <c r="H181" s="993" t="s">
        <v>860</v>
      </c>
      <c r="I181" s="994">
        <v>0</v>
      </c>
      <c r="J181" s="995">
        <v>0</v>
      </c>
      <c r="K181" s="995">
        <f>0-J181</f>
        <v>0</v>
      </c>
      <c r="L181" s="995">
        <f>SUM(K181+J181)</f>
        <v>0</v>
      </c>
      <c r="M181" s="995">
        <v>150000</v>
      </c>
    </row>
    <row r="182" spans="1:14" ht="18" customHeight="1" x14ac:dyDescent="0.25">
      <c r="A182" s="986"/>
      <c r="B182" s="987"/>
      <c r="C182" s="987"/>
      <c r="D182" s="987" t="s">
        <v>1510</v>
      </c>
      <c r="E182" s="987"/>
      <c r="F182" s="988"/>
      <c r="G182" s="989" t="s">
        <v>861</v>
      </c>
      <c r="H182" s="993" t="s">
        <v>1640</v>
      </c>
      <c r="I182" s="994">
        <v>0</v>
      </c>
      <c r="J182" s="995">
        <v>0</v>
      </c>
      <c r="K182" s="995">
        <f>50000-J182</f>
        <v>50000</v>
      </c>
      <c r="L182" s="995">
        <f>SUM(K182+J182)</f>
        <v>50000</v>
      </c>
      <c r="M182" s="995">
        <v>0</v>
      </c>
    </row>
    <row r="183" spans="1:14" ht="18" customHeight="1" x14ac:dyDescent="0.25">
      <c r="A183" s="986"/>
      <c r="B183" s="987"/>
      <c r="C183" s="987"/>
      <c r="D183" s="987" t="s">
        <v>868</v>
      </c>
      <c r="E183" s="987"/>
      <c r="F183" s="988"/>
      <c r="G183" s="989" t="s">
        <v>932</v>
      </c>
      <c r="H183" s="993" t="s">
        <v>869</v>
      </c>
      <c r="I183" s="994">
        <v>0</v>
      </c>
      <c r="J183" s="995">
        <v>0</v>
      </c>
      <c r="K183" s="995">
        <v>0</v>
      </c>
      <c r="L183" s="995">
        <f>SUM(K183+J183)</f>
        <v>0</v>
      </c>
      <c r="M183" s="995">
        <f>20000</f>
        <v>20000</v>
      </c>
    </row>
    <row r="184" spans="1:14" s="1003" customFormat="1" ht="18" customHeight="1" x14ac:dyDescent="0.25">
      <c r="A184" s="998"/>
      <c r="B184" s="999"/>
      <c r="C184" s="999"/>
      <c r="D184" s="999" t="s">
        <v>808</v>
      </c>
      <c r="E184" s="999"/>
      <c r="F184" s="1000"/>
      <c r="G184" s="1001"/>
      <c r="H184" s="990"/>
      <c r="I184" s="1002">
        <f>SUM(I181:I183)</f>
        <v>0</v>
      </c>
      <c r="J184" s="1005">
        <f>SUM(J181:J183)</f>
        <v>0</v>
      </c>
      <c r="K184" s="1005">
        <f>SUM(K181:K183)</f>
        <v>50000</v>
      </c>
      <c r="L184" s="1005">
        <f>SUM(L181:L183)</f>
        <v>50000</v>
      </c>
      <c r="M184" s="1005">
        <f>SUM(M181:M183)</f>
        <v>170000</v>
      </c>
    </row>
    <row r="185" spans="1:14" s="1003" customFormat="1" ht="18" customHeight="1" x14ac:dyDescent="0.25">
      <c r="A185" s="998"/>
      <c r="B185" s="999"/>
      <c r="C185" s="999"/>
      <c r="D185" s="999"/>
      <c r="E185" s="999"/>
      <c r="F185" s="1000"/>
      <c r="G185" s="1001"/>
      <c r="H185" s="990"/>
      <c r="I185" s="1002"/>
      <c r="J185" s="1005"/>
      <c r="K185" s="1005"/>
      <c r="L185" s="1005"/>
      <c r="M185" s="1005"/>
    </row>
    <row r="186" spans="1:14" s="1003" customFormat="1" ht="18" customHeight="1" x14ac:dyDescent="0.25">
      <c r="A186" s="1006" t="s">
        <v>635</v>
      </c>
      <c r="B186" s="1007"/>
      <c r="C186" s="1007"/>
      <c r="D186" s="1007"/>
      <c r="E186" s="1007"/>
      <c r="F186" s="1008"/>
      <c r="G186" s="1009"/>
      <c r="H186" s="1010"/>
      <c r="I186" s="1011">
        <f>SUM(I184+I179+I171)</f>
        <v>2133144.65</v>
      </c>
      <c r="J186" s="1011">
        <f>SUM(J184+J179+J171)</f>
        <v>1222290.1599999999</v>
      </c>
      <c r="K186" s="1011">
        <f>SUM(K184+K179+K171)</f>
        <v>1571920.92</v>
      </c>
      <c r="L186" s="1011">
        <f>SUM(L184+L179+L171)</f>
        <v>2794211.08</v>
      </c>
      <c r="M186" s="1011">
        <f>SUM(M184+M179+M171)</f>
        <v>2873191</v>
      </c>
    </row>
    <row r="187" spans="1:14" ht="18" customHeight="1" x14ac:dyDescent="0.25">
      <c r="A187" s="973"/>
      <c r="B187" s="1012"/>
      <c r="C187" s="973"/>
      <c r="D187" s="973"/>
      <c r="E187" s="973"/>
      <c r="F187" s="973"/>
      <c r="G187" s="973"/>
      <c r="H187" s="1013"/>
      <c r="I187" s="1013"/>
      <c r="J187" s="1014"/>
      <c r="K187" s="1014"/>
      <c r="L187" s="1014"/>
      <c r="M187" s="1014"/>
    </row>
    <row r="188" spans="1:14" ht="18" customHeight="1" x14ac:dyDescent="0.25">
      <c r="A188" s="973"/>
      <c r="B188" s="1012"/>
      <c r="C188" s="973"/>
      <c r="D188" s="973"/>
      <c r="E188" s="973"/>
      <c r="F188" s="973"/>
      <c r="G188" s="973"/>
      <c r="H188" s="1013"/>
      <c r="I188" s="1013"/>
      <c r="J188" s="1014"/>
      <c r="K188" s="1014"/>
      <c r="L188" s="1014"/>
      <c r="M188" s="1014"/>
    </row>
    <row r="189" spans="1:14" ht="18" customHeight="1" x14ac:dyDescent="0.25">
      <c r="A189" s="973"/>
      <c r="B189" s="1012"/>
      <c r="C189" s="973"/>
      <c r="D189" s="973"/>
      <c r="E189" s="973"/>
      <c r="F189" s="973"/>
      <c r="G189" s="973"/>
      <c r="H189" s="1013"/>
      <c r="I189" s="1013"/>
      <c r="J189" s="1014"/>
      <c r="K189" s="1014"/>
      <c r="L189" s="1014"/>
      <c r="M189" s="1014"/>
    </row>
    <row r="190" spans="1:14" s="956" customFormat="1" ht="18" customHeight="1" x14ac:dyDescent="0.25">
      <c r="A190" s="953" t="s">
        <v>636</v>
      </c>
      <c r="B190" s="953"/>
      <c r="C190" s="954"/>
      <c r="D190" s="954"/>
      <c r="E190" s="954"/>
      <c r="F190" s="954"/>
      <c r="G190" s="954"/>
      <c r="H190" s="1017"/>
      <c r="I190" s="1017" t="s">
        <v>637</v>
      </c>
      <c r="J190" s="1014"/>
      <c r="K190" s="1018"/>
      <c r="L190" s="1018" t="s">
        <v>264</v>
      </c>
      <c r="M190" s="1014"/>
      <c r="N190" s="1014"/>
    </row>
    <row r="191" spans="1:14" s="956" customFormat="1" ht="18" customHeight="1" x14ac:dyDescent="0.25">
      <c r="A191" s="954"/>
      <c r="B191" s="953"/>
      <c r="C191" s="954"/>
      <c r="F191" s="953"/>
      <c r="G191" s="1103"/>
      <c r="H191" s="1103"/>
      <c r="I191" s="1099"/>
      <c r="J191" s="1099"/>
      <c r="K191" s="1014"/>
      <c r="L191" s="1019"/>
      <c r="M191" s="1014"/>
      <c r="N191" s="1014"/>
    </row>
    <row r="192" spans="1:14" s="956" customFormat="1" ht="18" customHeight="1" x14ac:dyDescent="0.25">
      <c r="A192" s="953"/>
      <c r="B192" s="953"/>
      <c r="C192" s="953"/>
      <c r="D192" s="1020"/>
      <c r="E192" s="1020"/>
      <c r="F192" s="1021" t="s">
        <v>260</v>
      </c>
      <c r="G192" s="1022"/>
      <c r="H192" s="1023"/>
      <c r="I192" s="1100" t="s">
        <v>17</v>
      </c>
      <c r="J192" s="1100"/>
      <c r="K192" s="1023"/>
      <c r="L192" s="1100" t="s">
        <v>1495</v>
      </c>
      <c r="M192" s="1100"/>
      <c r="N192" s="1023"/>
    </row>
    <row r="193" spans="1:14" s="956" customFormat="1" ht="18" customHeight="1" x14ac:dyDescent="0.25">
      <c r="A193" s="954"/>
      <c r="B193" s="953"/>
      <c r="C193" s="954"/>
      <c r="D193" s="954"/>
      <c r="E193" s="954"/>
      <c r="F193" s="1013" t="s">
        <v>13</v>
      </c>
      <c r="G193" s="1025"/>
      <c r="H193" s="1025"/>
      <c r="I193" s="1101" t="s">
        <v>18</v>
      </c>
      <c r="J193" s="1101"/>
      <c r="K193" s="1026"/>
      <c r="L193" s="1102" t="s">
        <v>14</v>
      </c>
      <c r="M193" s="1102"/>
      <c r="N193" s="1026"/>
    </row>
    <row r="194" spans="1:14" s="956" customFormat="1" ht="18" customHeight="1" x14ac:dyDescent="0.25">
      <c r="A194" s="954"/>
      <c r="B194" s="953"/>
      <c r="C194" s="954"/>
      <c r="D194" s="954"/>
      <c r="E194" s="954"/>
      <c r="F194" s="954"/>
      <c r="G194" s="1025"/>
      <c r="H194" s="1013"/>
      <c r="I194" s="1013"/>
      <c r="K194" s="1027"/>
      <c r="L194" s="1027"/>
      <c r="M194" s="1014"/>
    </row>
    <row r="195" spans="1:14" s="956" customFormat="1" ht="18" customHeight="1" x14ac:dyDescent="0.25">
      <c r="A195" s="954"/>
      <c r="B195" s="953"/>
      <c r="C195" s="954"/>
      <c r="D195" s="954"/>
      <c r="E195" s="954"/>
      <c r="F195" s="954"/>
      <c r="G195" s="1025"/>
      <c r="H195" s="1013"/>
      <c r="I195" s="1013"/>
      <c r="K195" s="1027"/>
      <c r="L195" s="1027"/>
      <c r="M195" s="1014"/>
    </row>
    <row r="196" spans="1:14" s="956" customFormat="1" ht="18" customHeight="1" x14ac:dyDescent="0.25">
      <c r="A196" s="954"/>
      <c r="B196" s="953"/>
      <c r="C196" s="954"/>
      <c r="D196" s="954"/>
      <c r="E196" s="954"/>
      <c r="F196" s="954"/>
      <c r="G196" s="1025"/>
      <c r="H196" s="1013"/>
      <c r="I196" s="1013"/>
      <c r="K196" s="1027"/>
      <c r="L196" s="1027"/>
      <c r="M196" s="1014"/>
    </row>
    <row r="197" spans="1:14" s="956" customFormat="1" ht="18" customHeight="1" x14ac:dyDescent="0.25">
      <c r="A197" s="954"/>
      <c r="B197" s="953"/>
      <c r="C197" s="954"/>
      <c r="D197" s="954"/>
      <c r="E197" s="954"/>
      <c r="F197" s="954"/>
      <c r="G197" s="1025"/>
      <c r="H197" s="1013"/>
      <c r="I197" s="1013"/>
      <c r="K197" s="1027"/>
      <c r="L197" s="1027"/>
      <c r="M197" s="1014"/>
    </row>
    <row r="198" spans="1:14" s="956" customFormat="1" ht="18" customHeight="1" x14ac:dyDescent="0.25">
      <c r="A198" s="954"/>
      <c r="B198" s="953"/>
      <c r="C198" s="954"/>
      <c r="D198" s="954"/>
      <c r="E198" s="954"/>
      <c r="F198" s="954"/>
      <c r="G198" s="1025"/>
      <c r="H198" s="1013"/>
      <c r="I198" s="1013"/>
      <c r="K198" s="1027"/>
      <c r="L198" s="1027"/>
      <c r="M198" s="1014"/>
    </row>
    <row r="199" spans="1:14" s="956" customFormat="1" ht="18" customHeight="1" x14ac:dyDescent="0.25">
      <c r="A199" s="954"/>
      <c r="B199" s="953"/>
      <c r="C199" s="954"/>
      <c r="D199" s="954"/>
      <c r="E199" s="954"/>
      <c r="F199" s="954"/>
      <c r="G199" s="1025"/>
      <c r="H199" s="1013"/>
      <c r="I199" s="1013"/>
      <c r="K199" s="1027"/>
      <c r="L199" s="1027"/>
      <c r="M199" s="1014"/>
    </row>
    <row r="200" spans="1:14" s="956" customFormat="1" ht="18" customHeight="1" x14ac:dyDescent="0.25">
      <c r="A200" s="954"/>
      <c r="B200" s="953"/>
      <c r="C200" s="954"/>
      <c r="D200" s="954"/>
      <c r="E200" s="954"/>
      <c r="F200" s="954"/>
      <c r="G200" s="1025"/>
      <c r="H200" s="1013"/>
      <c r="I200" s="1013"/>
      <c r="K200" s="1027"/>
      <c r="L200" s="1027"/>
      <c r="M200" s="1014"/>
    </row>
    <row r="201" spans="1:14" s="956" customFormat="1" ht="18" customHeight="1" x14ac:dyDescent="0.25">
      <c r="A201" s="954"/>
      <c r="B201" s="953"/>
      <c r="C201" s="954"/>
      <c r="D201" s="954"/>
      <c r="E201" s="954"/>
      <c r="F201" s="954"/>
      <c r="G201" s="1025"/>
      <c r="H201" s="1013"/>
      <c r="I201" s="1013"/>
      <c r="K201" s="1027"/>
      <c r="L201" s="1027"/>
      <c r="M201" s="1014"/>
    </row>
    <row r="202" spans="1:14" s="956" customFormat="1" ht="18" customHeight="1" x14ac:dyDescent="0.25">
      <c r="A202" s="954"/>
      <c r="B202" s="953"/>
      <c r="C202" s="954"/>
      <c r="D202" s="954"/>
      <c r="E202" s="954"/>
      <c r="F202" s="954"/>
      <c r="G202" s="1025"/>
      <c r="H202" s="1013"/>
      <c r="I202" s="1013"/>
      <c r="K202" s="1027"/>
      <c r="L202" s="1027"/>
      <c r="M202" s="1014"/>
    </row>
    <row r="203" spans="1:14" s="956" customFormat="1" ht="18" customHeight="1" x14ac:dyDescent="0.25">
      <c r="A203" s="954"/>
      <c r="B203" s="953"/>
      <c r="C203" s="954"/>
      <c r="D203" s="954"/>
      <c r="E203" s="954"/>
      <c r="F203" s="954"/>
      <c r="G203" s="1025"/>
      <c r="H203" s="1013"/>
      <c r="I203" s="1013"/>
      <c r="K203" s="1027"/>
      <c r="L203" s="1027"/>
      <c r="M203" s="1014"/>
    </row>
    <row r="204" spans="1:14" s="956" customFormat="1" ht="18" customHeight="1" x14ac:dyDescent="0.25">
      <c r="A204" s="954"/>
      <c r="B204" s="953"/>
      <c r="C204" s="954"/>
      <c r="D204" s="954"/>
      <c r="E204" s="954"/>
      <c r="F204" s="954"/>
      <c r="G204" s="1025"/>
      <c r="H204" s="1013"/>
      <c r="I204" s="1013"/>
      <c r="K204" s="1027"/>
      <c r="L204" s="1027"/>
      <c r="M204" s="1014"/>
    </row>
    <row r="205" spans="1:14" s="956" customFormat="1" ht="18" customHeight="1" x14ac:dyDescent="0.25">
      <c r="A205" s="954"/>
      <c r="B205" s="953"/>
      <c r="C205" s="954"/>
      <c r="D205" s="954"/>
      <c r="E205" s="954"/>
      <c r="F205" s="954"/>
      <c r="G205" s="1025"/>
      <c r="H205" s="1013"/>
      <c r="I205" s="1013"/>
      <c r="K205" s="1027"/>
      <c r="L205" s="1027"/>
      <c r="M205" s="1014"/>
    </row>
    <row r="206" spans="1:14" s="1041" customFormat="1" ht="20.100000000000001" customHeight="1" x14ac:dyDescent="0.35">
      <c r="A206" s="1095" t="s">
        <v>1718</v>
      </c>
      <c r="B206" s="1095"/>
      <c r="C206" s="1095"/>
      <c r="D206" s="1095"/>
      <c r="E206" s="1095"/>
      <c r="F206" s="1095"/>
      <c r="G206" s="1095"/>
      <c r="H206" s="1095"/>
      <c r="I206" s="1095"/>
      <c r="J206" s="1095"/>
      <c r="K206" s="1095"/>
      <c r="L206" s="1095"/>
      <c r="M206" s="1095"/>
    </row>
    <row r="207" spans="1:14" s="956" customFormat="1" ht="18" customHeight="1" x14ac:dyDescent="0.25">
      <c r="A207" s="953"/>
      <c r="B207" s="954"/>
      <c r="C207" s="954"/>
      <c r="D207" s="954"/>
      <c r="E207" s="954"/>
      <c r="F207" s="954"/>
      <c r="G207" s="954"/>
      <c r="H207" s="954"/>
      <c r="I207" s="954"/>
      <c r="J207" s="954"/>
      <c r="K207" s="954"/>
      <c r="L207" s="954"/>
    </row>
    <row r="208" spans="1:14" s="956" customFormat="1" ht="18" customHeight="1" x14ac:dyDescent="0.25">
      <c r="A208" s="1087" t="s">
        <v>21</v>
      </c>
      <c r="B208" s="1087"/>
      <c r="C208" s="1087"/>
      <c r="D208" s="1087"/>
      <c r="E208" s="1087"/>
      <c r="F208" s="1087"/>
      <c r="G208" s="1087"/>
      <c r="H208" s="1087"/>
      <c r="I208" s="1087"/>
      <c r="J208" s="1087"/>
      <c r="K208" s="1087"/>
      <c r="L208" s="1087"/>
      <c r="M208" s="1087"/>
    </row>
    <row r="209" spans="1:13" s="956" customFormat="1" ht="18" customHeight="1" x14ac:dyDescent="0.25">
      <c r="A209" s="1087" t="s">
        <v>364</v>
      </c>
      <c r="B209" s="1087"/>
      <c r="C209" s="1087"/>
      <c r="D209" s="1087"/>
      <c r="E209" s="1087"/>
      <c r="F209" s="1087"/>
      <c r="G209" s="1087"/>
      <c r="H209" s="1087"/>
      <c r="I209" s="1087"/>
      <c r="J209" s="1087"/>
      <c r="K209" s="1087"/>
      <c r="L209" s="1087"/>
      <c r="M209" s="1087"/>
    </row>
    <row r="210" spans="1:13" s="956" customFormat="1" ht="18" customHeight="1" x14ac:dyDescent="0.25">
      <c r="A210" s="957"/>
      <c r="B210" s="957"/>
      <c r="C210" s="957"/>
      <c r="D210" s="957"/>
      <c r="E210" s="957"/>
      <c r="F210" s="957"/>
      <c r="G210" s="957"/>
      <c r="H210" s="957"/>
      <c r="I210" s="957"/>
      <c r="J210" s="957"/>
      <c r="K210" s="957"/>
      <c r="L210" s="957"/>
      <c r="M210" s="957"/>
    </row>
    <row r="211" spans="1:13" s="956" customFormat="1" ht="18" customHeight="1" x14ac:dyDescent="0.25">
      <c r="A211" s="958" t="s">
        <v>1723</v>
      </c>
      <c r="B211" s="957"/>
      <c r="C211" s="959"/>
      <c r="D211" s="957"/>
      <c r="E211" s="957"/>
      <c r="F211" s="957"/>
      <c r="G211" s="957"/>
      <c r="H211" s="957"/>
      <c r="I211" s="957"/>
      <c r="J211" s="957"/>
      <c r="K211" s="957"/>
      <c r="L211" s="957"/>
      <c r="M211" s="957"/>
    </row>
    <row r="212" spans="1:13" s="956" customFormat="1" ht="18" customHeight="1" thickBot="1" x14ac:dyDescent="0.3">
      <c r="A212" s="1087"/>
      <c r="B212" s="1087"/>
      <c r="C212" s="1087"/>
      <c r="D212" s="1087"/>
      <c r="E212" s="1087"/>
      <c r="F212" s="1087"/>
      <c r="G212" s="1087"/>
      <c r="H212" s="1087"/>
      <c r="I212" s="1087"/>
      <c r="J212" s="1087"/>
      <c r="K212" s="1087"/>
      <c r="L212" s="1087"/>
      <c r="M212" s="1087"/>
    </row>
    <row r="213" spans="1:13" ht="18" customHeight="1" x14ac:dyDescent="0.2">
      <c r="A213" s="961"/>
      <c r="B213" s="962"/>
      <c r="C213" s="962"/>
      <c r="D213" s="962"/>
      <c r="E213" s="962"/>
      <c r="F213" s="963"/>
      <c r="G213" s="964"/>
      <c r="H213" s="965"/>
      <c r="I213" s="965"/>
      <c r="J213" s="1089" t="s">
        <v>633</v>
      </c>
      <c r="K213" s="1090"/>
      <c r="L213" s="1091"/>
      <c r="M213" s="966"/>
    </row>
    <row r="214" spans="1:13" ht="18" customHeight="1" x14ac:dyDescent="0.2">
      <c r="A214" s="1092"/>
      <c r="B214" s="1093"/>
      <c r="C214" s="1093"/>
      <c r="D214" s="1093"/>
      <c r="E214" s="1093"/>
      <c r="F214" s="1094"/>
      <c r="G214" s="967"/>
      <c r="H214" s="968"/>
      <c r="I214" s="968" t="s">
        <v>6</v>
      </c>
      <c r="J214" s="968" t="s">
        <v>580</v>
      </c>
      <c r="K214" s="968" t="s">
        <v>581</v>
      </c>
      <c r="L214" s="968"/>
      <c r="M214" s="969" t="s">
        <v>7</v>
      </c>
    </row>
    <row r="215" spans="1:13" ht="18" customHeight="1" x14ac:dyDescent="0.25">
      <c r="A215" s="1092" t="s">
        <v>22</v>
      </c>
      <c r="B215" s="1093"/>
      <c r="C215" s="1093"/>
      <c r="D215" s="1093"/>
      <c r="E215" s="1093"/>
      <c r="F215" s="1094"/>
      <c r="G215" s="970"/>
      <c r="H215" s="971" t="s">
        <v>634</v>
      </c>
      <c r="I215" s="968" t="s">
        <v>579</v>
      </c>
      <c r="J215" s="968" t="s">
        <v>579</v>
      </c>
      <c r="K215" s="968" t="s">
        <v>582</v>
      </c>
      <c r="L215" s="968" t="s">
        <v>15</v>
      </c>
      <c r="M215" s="969" t="s">
        <v>584</v>
      </c>
    </row>
    <row r="216" spans="1:13" ht="18" customHeight="1" x14ac:dyDescent="0.2">
      <c r="A216" s="972"/>
      <c r="B216" s="973"/>
      <c r="C216" s="973"/>
      <c r="D216" s="973"/>
      <c r="E216" s="973"/>
      <c r="F216" s="974"/>
      <c r="G216" s="970"/>
      <c r="H216" s="968"/>
      <c r="I216" s="968">
        <v>2019</v>
      </c>
      <c r="J216" s="968">
        <v>2020</v>
      </c>
      <c r="K216" s="968">
        <v>2020</v>
      </c>
      <c r="L216" s="968">
        <v>2020</v>
      </c>
      <c r="M216" s="969">
        <v>2021</v>
      </c>
    </row>
    <row r="217" spans="1:13" ht="18" customHeight="1" thickBot="1" x14ac:dyDescent="0.25">
      <c r="A217" s="1096"/>
      <c r="B217" s="1097"/>
      <c r="C217" s="1097"/>
      <c r="D217" s="1097"/>
      <c r="E217" s="1097"/>
      <c r="F217" s="1098"/>
      <c r="G217" s="975"/>
      <c r="H217" s="976"/>
      <c r="I217" s="976"/>
      <c r="J217" s="976"/>
      <c r="K217" s="976"/>
      <c r="L217" s="976"/>
      <c r="M217" s="977"/>
    </row>
    <row r="218" spans="1:13" ht="18" customHeight="1" x14ac:dyDescent="0.25">
      <c r="A218" s="978"/>
      <c r="B218" s="979" t="s">
        <v>372</v>
      </c>
      <c r="C218" s="980"/>
      <c r="D218" s="979"/>
      <c r="E218" s="979"/>
      <c r="F218" s="981"/>
      <c r="G218" s="982"/>
      <c r="H218" s="1028"/>
      <c r="I218" s="1029"/>
      <c r="J218" s="1030"/>
      <c r="K218" s="1030"/>
      <c r="L218" s="1030"/>
      <c r="M218" s="1030"/>
    </row>
    <row r="219" spans="1:13" ht="18" customHeight="1" x14ac:dyDescent="0.25">
      <c r="A219" s="986"/>
      <c r="B219" s="987"/>
      <c r="C219" s="987" t="s">
        <v>532</v>
      </c>
      <c r="D219" s="987"/>
      <c r="E219" s="987"/>
      <c r="F219" s="988"/>
      <c r="G219" s="989"/>
      <c r="H219" s="1031"/>
      <c r="I219" s="1032"/>
      <c r="J219" s="1033"/>
      <c r="K219" s="1033"/>
      <c r="L219" s="1033"/>
      <c r="M219" s="1033"/>
    </row>
    <row r="220" spans="1:13" ht="18" customHeight="1" x14ac:dyDescent="0.25">
      <c r="A220" s="986"/>
      <c r="B220" s="987"/>
      <c r="C220" s="987"/>
      <c r="D220" s="987" t="s">
        <v>533</v>
      </c>
      <c r="E220" s="987"/>
      <c r="F220" s="988"/>
      <c r="G220" s="989" t="s">
        <v>603</v>
      </c>
      <c r="H220" s="993" t="s">
        <v>698</v>
      </c>
      <c r="I220" s="994">
        <v>1258548</v>
      </c>
      <c r="J220" s="995">
        <v>645636</v>
      </c>
      <c r="K220" s="995">
        <f>1294638-J220</f>
        <v>649002</v>
      </c>
      <c r="L220" s="995">
        <f>SUM(K220+J220)</f>
        <v>1294638</v>
      </c>
      <c r="M220" s="995">
        <v>1326804</v>
      </c>
    </row>
    <row r="221" spans="1:13" ht="18" customHeight="1" x14ac:dyDescent="0.25">
      <c r="A221" s="986"/>
      <c r="B221" s="987"/>
      <c r="C221" s="987" t="s">
        <v>534</v>
      </c>
      <c r="D221" s="987"/>
      <c r="E221" s="987"/>
      <c r="F221" s="988"/>
      <c r="G221" s="989"/>
      <c r="H221" s="996"/>
      <c r="I221" s="994"/>
      <c r="J221" s="995"/>
      <c r="K221" s="995"/>
      <c r="L221" s="995"/>
      <c r="M221" s="995"/>
    </row>
    <row r="222" spans="1:13" ht="18" customHeight="1" x14ac:dyDescent="0.25">
      <c r="A222" s="986"/>
      <c r="B222" s="987"/>
      <c r="C222" s="987"/>
      <c r="D222" s="987" t="s">
        <v>535</v>
      </c>
      <c r="E222" s="987"/>
      <c r="F222" s="988"/>
      <c r="G222" s="989" t="s">
        <v>604</v>
      </c>
      <c r="H222" s="993" t="s">
        <v>699</v>
      </c>
      <c r="I222" s="994">
        <v>72000</v>
      </c>
      <c r="J222" s="995">
        <v>36000</v>
      </c>
      <c r="K222" s="995">
        <f>72000-J222</f>
        <v>36000</v>
      </c>
      <c r="L222" s="995">
        <f t="shared" ref="L222:L237" si="7">SUM(K222+J222)</f>
        <v>72000</v>
      </c>
      <c r="M222" s="995">
        <v>72000</v>
      </c>
    </row>
    <row r="223" spans="1:13" ht="18" customHeight="1" x14ac:dyDescent="0.25">
      <c r="A223" s="986"/>
      <c r="B223" s="987"/>
      <c r="C223" s="987"/>
      <c r="D223" s="987" t="s">
        <v>546</v>
      </c>
      <c r="E223" s="987"/>
      <c r="F223" s="988"/>
      <c r="G223" s="989" t="s">
        <v>605</v>
      </c>
      <c r="H223" s="993" t="s">
        <v>700</v>
      </c>
      <c r="I223" s="994">
        <v>76500</v>
      </c>
      <c r="J223" s="995">
        <v>38250</v>
      </c>
      <c r="K223" s="995">
        <f>76500-J223</f>
        <v>38250</v>
      </c>
      <c r="L223" s="995">
        <f t="shared" si="7"/>
        <v>76500</v>
      </c>
      <c r="M223" s="995">
        <v>76500</v>
      </c>
    </row>
    <row r="224" spans="1:13" ht="18" customHeight="1" x14ac:dyDescent="0.25">
      <c r="A224" s="986"/>
      <c r="B224" s="987"/>
      <c r="C224" s="987"/>
      <c r="D224" s="987" t="s">
        <v>545</v>
      </c>
      <c r="E224" s="987"/>
      <c r="F224" s="988"/>
      <c r="G224" s="989" t="s">
        <v>606</v>
      </c>
      <c r="H224" s="993" t="s">
        <v>701</v>
      </c>
      <c r="I224" s="994">
        <v>76500</v>
      </c>
      <c r="J224" s="995">
        <v>38250</v>
      </c>
      <c r="K224" s="995">
        <f>76500-J224</f>
        <v>38250</v>
      </c>
      <c r="L224" s="995">
        <f t="shared" si="7"/>
        <v>76500</v>
      </c>
      <c r="M224" s="995">
        <v>76500</v>
      </c>
    </row>
    <row r="225" spans="1:13" ht="18" customHeight="1" x14ac:dyDescent="0.25">
      <c r="A225" s="986"/>
      <c r="B225" s="987"/>
      <c r="C225" s="987"/>
      <c r="D225" s="987" t="s">
        <v>547</v>
      </c>
      <c r="E225" s="987"/>
      <c r="F225" s="988"/>
      <c r="G225" s="989" t="s">
        <v>607</v>
      </c>
      <c r="H225" s="993" t="s">
        <v>702</v>
      </c>
      <c r="I225" s="994">
        <v>18000</v>
      </c>
      <c r="J225" s="995">
        <v>18000</v>
      </c>
      <c r="K225" s="995">
        <f>18000-J225</f>
        <v>0</v>
      </c>
      <c r="L225" s="995">
        <f t="shared" si="7"/>
        <v>18000</v>
      </c>
      <c r="M225" s="995">
        <v>18000</v>
      </c>
    </row>
    <row r="226" spans="1:13" ht="18" customHeight="1" x14ac:dyDescent="0.25">
      <c r="A226" s="986"/>
      <c r="B226" s="987"/>
      <c r="C226" s="987"/>
      <c r="D226" s="987" t="s">
        <v>696</v>
      </c>
      <c r="E226" s="987"/>
      <c r="F226" s="988"/>
      <c r="G226" s="989" t="s">
        <v>609</v>
      </c>
      <c r="H226" s="993" t="s">
        <v>703</v>
      </c>
      <c r="I226" s="994">
        <v>15000</v>
      </c>
      <c r="J226" s="995">
        <v>0</v>
      </c>
      <c r="K226" s="995">
        <f>15000-J226</f>
        <v>15000</v>
      </c>
      <c r="L226" s="995">
        <f t="shared" si="7"/>
        <v>15000</v>
      </c>
      <c r="M226" s="995">
        <v>15000</v>
      </c>
    </row>
    <row r="227" spans="1:13" ht="18" customHeight="1" x14ac:dyDescent="0.25">
      <c r="A227" s="986"/>
      <c r="B227" s="987"/>
      <c r="C227" s="987"/>
      <c r="D227" s="987" t="s">
        <v>549</v>
      </c>
      <c r="E227" s="987"/>
      <c r="F227" s="988"/>
      <c r="G227" s="989" t="s">
        <v>440</v>
      </c>
      <c r="H227" s="993" t="s">
        <v>704</v>
      </c>
      <c r="I227" s="994">
        <v>0</v>
      </c>
      <c r="J227" s="995">
        <v>5000</v>
      </c>
      <c r="K227" s="995">
        <f>5000-J227</f>
        <v>0</v>
      </c>
      <c r="L227" s="995">
        <f t="shared" si="7"/>
        <v>5000</v>
      </c>
      <c r="M227" s="995">
        <v>0</v>
      </c>
    </row>
    <row r="228" spans="1:13" ht="18" customHeight="1" x14ac:dyDescent="0.25">
      <c r="A228" s="986"/>
      <c r="B228" s="987"/>
      <c r="C228" s="987"/>
      <c r="D228" s="987" t="s">
        <v>1562</v>
      </c>
      <c r="E228" s="987"/>
      <c r="F228" s="988"/>
      <c r="G228" s="989"/>
      <c r="H228" s="993" t="s">
        <v>704</v>
      </c>
      <c r="I228" s="994">
        <v>48290.81</v>
      </c>
      <c r="J228" s="995">
        <v>52439.5</v>
      </c>
      <c r="K228" s="995">
        <f>52439.5-J228</f>
        <v>0</v>
      </c>
      <c r="L228" s="995">
        <f t="shared" si="7"/>
        <v>52439.5</v>
      </c>
      <c r="M228" s="995">
        <v>0</v>
      </c>
    </row>
    <row r="229" spans="1:13" ht="18" customHeight="1" x14ac:dyDescent="0.25">
      <c r="A229" s="986"/>
      <c r="B229" s="987"/>
      <c r="C229" s="987"/>
      <c r="D229" s="987" t="s">
        <v>552</v>
      </c>
      <c r="E229" s="987"/>
      <c r="F229" s="988"/>
      <c r="G229" s="989" t="s">
        <v>612</v>
      </c>
      <c r="H229" s="993" t="s">
        <v>705</v>
      </c>
      <c r="I229" s="994">
        <v>15000</v>
      </c>
      <c r="J229" s="995">
        <v>0</v>
      </c>
      <c r="K229" s="995">
        <f>15000-J229</f>
        <v>15000</v>
      </c>
      <c r="L229" s="995">
        <f t="shared" si="7"/>
        <v>15000</v>
      </c>
      <c r="M229" s="995">
        <v>15000</v>
      </c>
    </row>
    <row r="230" spans="1:13" ht="18" customHeight="1" x14ac:dyDescent="0.25">
      <c r="A230" s="986"/>
      <c r="B230" s="987"/>
      <c r="C230" s="987"/>
      <c r="D230" s="987" t="s">
        <v>816</v>
      </c>
      <c r="E230" s="987"/>
      <c r="F230" s="987"/>
      <c r="G230" s="997" t="s">
        <v>440</v>
      </c>
      <c r="H230" s="993" t="s">
        <v>704</v>
      </c>
      <c r="I230" s="994">
        <v>104879</v>
      </c>
      <c r="J230" s="995">
        <v>107606</v>
      </c>
      <c r="K230" s="995">
        <f>107606-J230</f>
        <v>0</v>
      </c>
      <c r="L230" s="995">
        <f t="shared" si="7"/>
        <v>107606</v>
      </c>
      <c r="M230" s="995">
        <v>110567</v>
      </c>
    </row>
    <row r="231" spans="1:13" ht="18" customHeight="1" x14ac:dyDescent="0.25">
      <c r="A231" s="986"/>
      <c r="B231" s="987"/>
      <c r="C231" s="987"/>
      <c r="D231" s="987" t="s">
        <v>553</v>
      </c>
      <c r="E231" s="987"/>
      <c r="F231" s="988"/>
      <c r="G231" s="989" t="s">
        <v>613</v>
      </c>
      <c r="H231" s="993" t="s">
        <v>706</v>
      </c>
      <c r="I231" s="994">
        <v>104879</v>
      </c>
      <c r="J231" s="995"/>
      <c r="K231" s="995">
        <f>108049-J231</f>
        <v>108049</v>
      </c>
      <c r="L231" s="995">
        <f t="shared" si="7"/>
        <v>108049</v>
      </c>
      <c r="M231" s="995">
        <v>110567</v>
      </c>
    </row>
    <row r="232" spans="1:13" ht="18" customHeight="1" x14ac:dyDescent="0.25">
      <c r="A232" s="986"/>
      <c r="B232" s="987"/>
      <c r="C232" s="987"/>
      <c r="D232" s="987" t="s">
        <v>669</v>
      </c>
      <c r="E232" s="987"/>
      <c r="F232" s="988"/>
      <c r="G232" s="989" t="s">
        <v>614</v>
      </c>
      <c r="H232" s="993" t="s">
        <v>707</v>
      </c>
      <c r="I232" s="994">
        <f>135770.52+15255.24</f>
        <v>151025.75999999998</v>
      </c>
      <c r="J232" s="995">
        <v>62927.4</v>
      </c>
      <c r="K232" s="995">
        <f>155700-J232</f>
        <v>92772.6</v>
      </c>
      <c r="L232" s="995">
        <f t="shared" si="7"/>
        <v>155700</v>
      </c>
      <c r="M232" s="995">
        <v>160000</v>
      </c>
    </row>
    <row r="233" spans="1:13" ht="18" customHeight="1" x14ac:dyDescent="0.25">
      <c r="A233" s="986"/>
      <c r="B233" s="987"/>
      <c r="C233" s="987"/>
      <c r="D233" s="987" t="s">
        <v>554</v>
      </c>
      <c r="E233" s="987"/>
      <c r="F233" s="988"/>
      <c r="G233" s="989" t="s">
        <v>615</v>
      </c>
      <c r="H233" s="993" t="s">
        <v>708</v>
      </c>
      <c r="I233" s="994">
        <v>3600</v>
      </c>
      <c r="J233" s="995">
        <v>1500</v>
      </c>
      <c r="K233" s="995">
        <f>3600-J233</f>
        <v>2100</v>
      </c>
      <c r="L233" s="995">
        <f t="shared" si="7"/>
        <v>3600</v>
      </c>
      <c r="M233" s="995">
        <v>5400</v>
      </c>
    </row>
    <row r="234" spans="1:13" ht="18" customHeight="1" x14ac:dyDescent="0.25">
      <c r="A234" s="986"/>
      <c r="B234" s="987"/>
      <c r="C234" s="987"/>
      <c r="D234" s="987" t="s">
        <v>555</v>
      </c>
      <c r="E234" s="987"/>
      <c r="F234" s="988"/>
      <c r="G234" s="989" t="s">
        <v>616</v>
      </c>
      <c r="H234" s="993" t="s">
        <v>709</v>
      </c>
      <c r="I234" s="994">
        <v>10835</v>
      </c>
      <c r="J234" s="995">
        <v>6375</v>
      </c>
      <c r="K234" s="995">
        <f>19600-J234</f>
        <v>13225</v>
      </c>
      <c r="L234" s="995">
        <f t="shared" si="7"/>
        <v>19600</v>
      </c>
      <c r="M234" s="995">
        <v>23500</v>
      </c>
    </row>
    <row r="235" spans="1:13" ht="18" customHeight="1" x14ac:dyDescent="0.25">
      <c r="A235" s="986"/>
      <c r="B235" s="987"/>
      <c r="C235" s="987"/>
      <c r="D235" s="987" t="s">
        <v>665</v>
      </c>
      <c r="E235" s="987"/>
      <c r="F235" s="988"/>
      <c r="G235" s="989" t="s">
        <v>617</v>
      </c>
      <c r="H235" s="993" t="s">
        <v>710</v>
      </c>
      <c r="I235" s="994">
        <f>3300+300</f>
        <v>3600</v>
      </c>
      <c r="J235" s="995">
        <v>1500</v>
      </c>
      <c r="K235" s="995">
        <f>3600-J235</f>
        <v>2100</v>
      </c>
      <c r="L235" s="995">
        <f t="shared" si="7"/>
        <v>3600</v>
      </c>
      <c r="M235" s="995">
        <v>3600</v>
      </c>
    </row>
    <row r="236" spans="1:13" ht="18" customHeight="1" x14ac:dyDescent="0.25">
      <c r="A236" s="986"/>
      <c r="B236" s="987"/>
      <c r="C236" s="987"/>
      <c r="D236" s="987" t="s">
        <v>557</v>
      </c>
      <c r="E236" s="987"/>
      <c r="F236" s="988"/>
      <c r="G236" s="989" t="s">
        <v>403</v>
      </c>
      <c r="H236" s="993" t="s">
        <v>722</v>
      </c>
      <c r="I236" s="994">
        <v>0</v>
      </c>
      <c r="J236" s="995">
        <v>398123.85</v>
      </c>
      <c r="K236" s="995">
        <f>398123.85-J236</f>
        <v>0</v>
      </c>
      <c r="L236" s="995">
        <f t="shared" si="7"/>
        <v>398123.85</v>
      </c>
      <c r="M236" s="995">
        <v>0</v>
      </c>
    </row>
    <row r="237" spans="1:13" ht="18" customHeight="1" x14ac:dyDescent="0.25">
      <c r="A237" s="986"/>
      <c r="B237" s="987"/>
      <c r="C237" s="987"/>
      <c r="D237" s="987" t="s">
        <v>1563</v>
      </c>
      <c r="E237" s="987"/>
      <c r="F237" s="988"/>
      <c r="G237" s="989"/>
      <c r="H237" s="993" t="s">
        <v>722</v>
      </c>
      <c r="I237" s="994">
        <v>30000</v>
      </c>
      <c r="J237" s="995">
        <v>0</v>
      </c>
      <c r="K237" s="995">
        <v>0</v>
      </c>
      <c r="L237" s="995">
        <f t="shared" si="7"/>
        <v>0</v>
      </c>
      <c r="M237" s="995">
        <v>0</v>
      </c>
    </row>
    <row r="238" spans="1:13" s="1003" customFormat="1" ht="18" customHeight="1" x14ac:dyDescent="0.25">
      <c r="A238" s="998"/>
      <c r="B238" s="999"/>
      <c r="C238" s="999"/>
      <c r="D238" s="999" t="s">
        <v>377</v>
      </c>
      <c r="E238" s="999"/>
      <c r="F238" s="1000"/>
      <c r="G238" s="1001"/>
      <c r="H238" s="1034"/>
      <c r="I238" s="1002">
        <f>SUM(I220:I237)</f>
        <v>1988657.57</v>
      </c>
      <c r="J238" s="1002">
        <f>SUM(J220:J237)</f>
        <v>1411607.75</v>
      </c>
      <c r="K238" s="1002">
        <f>SUM(K220:K237)</f>
        <v>1009748.6</v>
      </c>
      <c r="L238" s="1002">
        <f>SUM(L220:L237)</f>
        <v>2421356.35</v>
      </c>
      <c r="M238" s="1002">
        <f>SUM(M220:M237)</f>
        <v>2013438</v>
      </c>
    </row>
    <row r="239" spans="1:13" ht="18" customHeight="1" x14ac:dyDescent="0.25">
      <c r="A239" s="986"/>
      <c r="B239" s="987" t="s">
        <v>558</v>
      </c>
      <c r="C239" s="987"/>
      <c r="D239" s="987"/>
      <c r="E239" s="987"/>
      <c r="F239" s="988"/>
      <c r="G239" s="989"/>
      <c r="H239" s="1031"/>
      <c r="I239" s="994"/>
      <c r="J239" s="995"/>
      <c r="K239" s="995"/>
      <c r="L239" s="995"/>
      <c r="M239" s="995"/>
    </row>
    <row r="240" spans="1:13" ht="18" customHeight="1" x14ac:dyDescent="0.25">
      <c r="A240" s="986"/>
      <c r="B240" s="987"/>
      <c r="C240" s="987"/>
      <c r="D240" s="987" t="s">
        <v>559</v>
      </c>
      <c r="E240" s="987"/>
      <c r="F240" s="988"/>
      <c r="G240" s="989" t="s">
        <v>390</v>
      </c>
      <c r="H240" s="993" t="s">
        <v>712</v>
      </c>
      <c r="I240" s="994">
        <v>8442</v>
      </c>
      <c r="J240" s="995">
        <v>2796</v>
      </c>
      <c r="K240" s="995">
        <f>55000-J240</f>
        <v>52204</v>
      </c>
      <c r="L240" s="995">
        <f t="shared" ref="L240:L246" si="8">SUM(K240+J240)</f>
        <v>55000</v>
      </c>
      <c r="M240" s="995">
        <f>55000-12000</f>
        <v>43000</v>
      </c>
    </row>
    <row r="241" spans="1:13" ht="18" customHeight="1" x14ac:dyDescent="0.25">
      <c r="A241" s="986"/>
      <c r="B241" s="987"/>
      <c r="C241" s="987"/>
      <c r="D241" s="987" t="s">
        <v>436</v>
      </c>
      <c r="E241" s="987"/>
      <c r="F241" s="988"/>
      <c r="G241" s="989" t="s">
        <v>391</v>
      </c>
      <c r="H241" s="993" t="s">
        <v>713</v>
      </c>
      <c r="I241" s="994">
        <v>24790</v>
      </c>
      <c r="J241" s="995">
        <v>3000</v>
      </c>
      <c r="K241" s="995">
        <f>35000-J241</f>
        <v>32000</v>
      </c>
      <c r="L241" s="995">
        <f t="shared" si="8"/>
        <v>35000</v>
      </c>
      <c r="M241" s="995">
        <v>35000</v>
      </c>
    </row>
    <row r="242" spans="1:13" ht="18" customHeight="1" x14ac:dyDescent="0.25">
      <c r="A242" s="986"/>
      <c r="B242" s="987"/>
      <c r="C242" s="987"/>
      <c r="D242" s="987" t="s">
        <v>384</v>
      </c>
      <c r="E242" s="987"/>
      <c r="F242" s="988"/>
      <c r="G242" s="989" t="s">
        <v>393</v>
      </c>
      <c r="H242" s="993" t="s">
        <v>714</v>
      </c>
      <c r="I242" s="994">
        <v>75018</v>
      </c>
      <c r="J242" s="995">
        <v>13537</v>
      </c>
      <c r="K242" s="995">
        <f>85000-J242</f>
        <v>71463</v>
      </c>
      <c r="L242" s="995">
        <f t="shared" si="8"/>
        <v>85000</v>
      </c>
      <c r="M242" s="995">
        <f>85000-20000</f>
        <v>65000</v>
      </c>
    </row>
    <row r="243" spans="1:13" ht="18" customHeight="1" x14ac:dyDescent="0.25">
      <c r="A243" s="986"/>
      <c r="B243" s="987"/>
      <c r="C243" s="987"/>
      <c r="D243" s="987" t="s">
        <v>563</v>
      </c>
      <c r="E243" s="987"/>
      <c r="F243" s="988"/>
      <c r="G243" s="989" t="s">
        <v>622</v>
      </c>
      <c r="H243" s="993" t="s">
        <v>715</v>
      </c>
      <c r="I243" s="994">
        <v>0</v>
      </c>
      <c r="J243" s="995">
        <v>0</v>
      </c>
      <c r="K243" s="995">
        <f>250-J243</f>
        <v>250</v>
      </c>
      <c r="L243" s="995">
        <f t="shared" si="8"/>
        <v>250</v>
      </c>
      <c r="M243" s="995">
        <v>250</v>
      </c>
    </row>
    <row r="244" spans="1:13" ht="18" customHeight="1" x14ac:dyDescent="0.25">
      <c r="A244" s="986"/>
      <c r="B244" s="987"/>
      <c r="C244" s="987"/>
      <c r="D244" s="987" t="s">
        <v>565</v>
      </c>
      <c r="E244" s="987"/>
      <c r="F244" s="988"/>
      <c r="G244" s="989" t="s">
        <v>394</v>
      </c>
      <c r="H244" s="993" t="s">
        <v>716</v>
      </c>
      <c r="I244" s="994">
        <v>24000</v>
      </c>
      <c r="J244" s="995">
        <v>12000</v>
      </c>
      <c r="K244" s="995">
        <f>24000-J244</f>
        <v>12000</v>
      </c>
      <c r="L244" s="995">
        <f t="shared" si="8"/>
        <v>24000</v>
      </c>
      <c r="M244" s="995">
        <f>24000+12000</f>
        <v>36000</v>
      </c>
    </row>
    <row r="245" spans="1:13" ht="18" customHeight="1" x14ac:dyDescent="0.25">
      <c r="A245" s="986"/>
      <c r="B245" s="987"/>
      <c r="C245" s="987"/>
      <c r="D245" s="987" t="s">
        <v>945</v>
      </c>
      <c r="E245" s="987"/>
      <c r="F245" s="988"/>
      <c r="G245" s="989" t="s">
        <v>395</v>
      </c>
      <c r="H245" s="993" t="s">
        <v>717</v>
      </c>
      <c r="I245" s="994">
        <v>0</v>
      </c>
      <c r="J245" s="995">
        <v>350</v>
      </c>
      <c r="K245" s="995">
        <f>14000-J245</f>
        <v>13650</v>
      </c>
      <c r="L245" s="995">
        <f t="shared" si="8"/>
        <v>14000</v>
      </c>
      <c r="M245" s="995">
        <v>14000</v>
      </c>
    </row>
    <row r="246" spans="1:13" ht="18" customHeight="1" x14ac:dyDescent="0.25">
      <c r="A246" s="986"/>
      <c r="B246" s="987"/>
      <c r="C246" s="987"/>
      <c r="D246" s="987" t="s">
        <v>572</v>
      </c>
      <c r="E246" s="987"/>
      <c r="F246" s="988"/>
      <c r="G246" s="989" t="s">
        <v>396</v>
      </c>
      <c r="H246" s="993" t="s">
        <v>718</v>
      </c>
      <c r="I246" s="994">
        <v>75000</v>
      </c>
      <c r="J246" s="995">
        <v>1000</v>
      </c>
      <c r="K246" s="995">
        <f>6000-J246</f>
        <v>5000</v>
      </c>
      <c r="L246" s="995">
        <f t="shared" si="8"/>
        <v>6000</v>
      </c>
      <c r="M246" s="995">
        <v>6000</v>
      </c>
    </row>
    <row r="247" spans="1:13" s="1003" customFormat="1" ht="18" customHeight="1" x14ac:dyDescent="0.25">
      <c r="A247" s="998"/>
      <c r="B247" s="999"/>
      <c r="C247" s="999"/>
      <c r="D247" s="999" t="s">
        <v>763</v>
      </c>
      <c r="E247" s="999"/>
      <c r="F247" s="1000"/>
      <c r="G247" s="1001"/>
      <c r="H247" s="1034"/>
      <c r="I247" s="1002">
        <f>SUM(I240:I246)</f>
        <v>207250</v>
      </c>
      <c r="J247" s="1002">
        <f>SUM(J240:J246)</f>
        <v>32683</v>
      </c>
      <c r="K247" s="1002">
        <f>SUM(K240:K246)</f>
        <v>186567</v>
      </c>
      <c r="L247" s="1002">
        <f>SUM(L240:L246)</f>
        <v>219250</v>
      </c>
      <c r="M247" s="1002">
        <f>SUM(M240:M246)</f>
        <v>199250</v>
      </c>
    </row>
    <row r="248" spans="1:13" ht="18" customHeight="1" x14ac:dyDescent="0.25">
      <c r="A248" s="986"/>
      <c r="B248" s="987" t="s">
        <v>573</v>
      </c>
      <c r="C248" s="987"/>
      <c r="D248" s="987"/>
      <c r="E248" s="987"/>
      <c r="F248" s="988"/>
      <c r="G248" s="989"/>
      <c r="H248" s="1031"/>
      <c r="I248" s="994"/>
      <c r="J248" s="995"/>
      <c r="K248" s="995"/>
      <c r="L248" s="995"/>
      <c r="M248" s="995"/>
    </row>
    <row r="249" spans="1:13" ht="18" customHeight="1" x14ac:dyDescent="0.25">
      <c r="A249" s="986"/>
      <c r="B249" s="987"/>
      <c r="C249" s="987"/>
      <c r="D249" s="987" t="s">
        <v>978</v>
      </c>
      <c r="E249" s="987"/>
      <c r="F249" s="988"/>
      <c r="G249" s="989" t="s">
        <v>861</v>
      </c>
      <c r="H249" s="993" t="s">
        <v>1640</v>
      </c>
      <c r="I249" s="994">
        <v>0</v>
      </c>
      <c r="J249" s="995">
        <v>0</v>
      </c>
      <c r="K249" s="995">
        <f>0-J249</f>
        <v>0</v>
      </c>
      <c r="L249" s="995">
        <f>SUM(K249+J249)</f>
        <v>0</v>
      </c>
      <c r="M249" s="995">
        <v>50000</v>
      </c>
    </row>
    <row r="250" spans="1:13" ht="18" customHeight="1" x14ac:dyDescent="0.25">
      <c r="A250" s="986"/>
      <c r="B250" s="987"/>
      <c r="C250" s="987"/>
      <c r="D250" s="987" t="s">
        <v>868</v>
      </c>
      <c r="E250" s="987"/>
      <c r="F250" s="988"/>
      <c r="G250" s="989" t="s">
        <v>932</v>
      </c>
      <c r="H250" s="993" t="s">
        <v>869</v>
      </c>
      <c r="I250" s="994"/>
      <c r="J250" s="995"/>
      <c r="K250" s="995"/>
      <c r="L250" s="995"/>
      <c r="M250" s="995">
        <v>20000</v>
      </c>
    </row>
    <row r="251" spans="1:13" ht="18" customHeight="1" x14ac:dyDescent="0.25">
      <c r="A251" s="986"/>
      <c r="B251" s="987"/>
      <c r="C251" s="987"/>
      <c r="D251" s="987" t="s">
        <v>862</v>
      </c>
      <c r="E251" s="987"/>
      <c r="F251" s="988"/>
      <c r="G251" s="989" t="s">
        <v>863</v>
      </c>
      <c r="H251" s="993" t="s">
        <v>864</v>
      </c>
      <c r="I251" s="994">
        <v>0</v>
      </c>
      <c r="J251" s="995">
        <v>0</v>
      </c>
      <c r="K251" s="995">
        <f>15000-J251</f>
        <v>15000</v>
      </c>
      <c r="L251" s="995">
        <f>SUM(K251+J251)</f>
        <v>15000</v>
      </c>
      <c r="M251" s="995">
        <v>0</v>
      </c>
    </row>
    <row r="252" spans="1:13" s="1003" customFormat="1" ht="18" customHeight="1" x14ac:dyDescent="0.25">
      <c r="A252" s="998"/>
      <c r="B252" s="999"/>
      <c r="C252" s="999"/>
      <c r="D252" s="999" t="s">
        <v>808</v>
      </c>
      <c r="E252" s="999"/>
      <c r="F252" s="1000"/>
      <c r="G252" s="1001"/>
      <c r="H252" s="1034"/>
      <c r="I252" s="1002">
        <f>SUM(I249:I251)</f>
        <v>0</v>
      </c>
      <c r="J252" s="1002">
        <f>SUM(J249:J251)</f>
        <v>0</v>
      </c>
      <c r="K252" s="1002">
        <f>SUM(K249:K251)</f>
        <v>15000</v>
      </c>
      <c r="L252" s="1002">
        <f>SUM(L249:L251)</f>
        <v>15000</v>
      </c>
      <c r="M252" s="1002">
        <f>SUM(M249:M251)</f>
        <v>70000</v>
      </c>
    </row>
    <row r="253" spans="1:13" s="1003" customFormat="1" ht="18" customHeight="1" x14ac:dyDescent="0.25">
      <c r="A253" s="998"/>
      <c r="B253" s="999"/>
      <c r="C253" s="999"/>
      <c r="D253" s="999"/>
      <c r="E253" s="999"/>
      <c r="F253" s="1000"/>
      <c r="G253" s="1001"/>
      <c r="H253" s="1034"/>
      <c r="I253" s="1002"/>
      <c r="J253" s="1005"/>
      <c r="K253" s="1005"/>
      <c r="L253" s="1005"/>
      <c r="M253" s="1005"/>
    </row>
    <row r="254" spans="1:13" ht="18" customHeight="1" x14ac:dyDescent="0.25">
      <c r="A254" s="1006" t="s">
        <v>635</v>
      </c>
      <c r="B254" s="1007"/>
      <c r="C254" s="1007"/>
      <c r="D254" s="1007"/>
      <c r="E254" s="1007"/>
      <c r="F254" s="1008"/>
      <c r="G254" s="1009"/>
      <c r="H254" s="1035"/>
      <c r="I254" s="1011">
        <f>SUM(I252+I247+I238)</f>
        <v>2195907.5700000003</v>
      </c>
      <c r="J254" s="1011">
        <f>SUM(J252+J247+J238)</f>
        <v>1444290.75</v>
      </c>
      <c r="K254" s="1011">
        <f>SUM(K252+K247+K238)</f>
        <v>1211315.6000000001</v>
      </c>
      <c r="L254" s="1011">
        <f>SUM(L252+L247+L238)</f>
        <v>2655606.35</v>
      </c>
      <c r="M254" s="1011">
        <f>SUM(M252+M247+M238)</f>
        <v>2282688</v>
      </c>
    </row>
    <row r="255" spans="1:13" ht="18" customHeight="1" x14ac:dyDescent="0.25">
      <c r="A255" s="973"/>
      <c r="B255" s="1012"/>
      <c r="C255" s="973"/>
      <c r="D255" s="973"/>
      <c r="E255" s="973"/>
      <c r="F255" s="973"/>
      <c r="G255" s="973"/>
      <c r="H255" s="1013"/>
      <c r="I255" s="1013"/>
      <c r="J255" s="1014"/>
      <c r="K255" s="1014"/>
      <c r="L255" s="1014"/>
      <c r="M255" s="1014"/>
    </row>
    <row r="256" spans="1:13" ht="18" customHeight="1" x14ac:dyDescent="0.25">
      <c r="A256" s="973"/>
      <c r="B256" s="1012"/>
      <c r="C256" s="973"/>
      <c r="D256" s="973"/>
      <c r="E256" s="973"/>
      <c r="F256" s="973"/>
      <c r="G256" s="973"/>
      <c r="H256" s="1013"/>
      <c r="I256" s="1013"/>
      <c r="J256" s="1014"/>
      <c r="K256" s="1014"/>
      <c r="L256" s="1014"/>
      <c r="M256" s="1014"/>
    </row>
    <row r="257" spans="1:13" ht="18" customHeight="1" x14ac:dyDescent="0.25">
      <c r="A257" s="973"/>
      <c r="B257" s="1012"/>
      <c r="C257" s="973"/>
      <c r="D257" s="973"/>
      <c r="E257" s="973"/>
      <c r="F257" s="973"/>
      <c r="G257" s="973"/>
      <c r="H257" s="1013"/>
      <c r="I257" s="1013"/>
      <c r="J257" s="1014"/>
      <c r="K257" s="1014"/>
      <c r="L257" s="1014"/>
      <c r="M257" s="1014"/>
    </row>
    <row r="258" spans="1:13" s="956" customFormat="1" ht="18" customHeight="1" x14ac:dyDescent="0.25">
      <c r="A258" s="953" t="s">
        <v>636</v>
      </c>
      <c r="B258" s="953"/>
      <c r="C258" s="954"/>
      <c r="D258" s="954"/>
      <c r="E258" s="954"/>
      <c r="F258" s="954"/>
      <c r="G258" s="954"/>
      <c r="H258" s="1017"/>
      <c r="I258" s="1017" t="s">
        <v>637</v>
      </c>
      <c r="J258" s="1014"/>
      <c r="K258" s="1018"/>
      <c r="L258" s="1018" t="s">
        <v>264</v>
      </c>
      <c r="M258" s="1014"/>
    </row>
    <row r="259" spans="1:13" s="956" customFormat="1" ht="18" customHeight="1" x14ac:dyDescent="0.25">
      <c r="A259" s="954"/>
      <c r="B259" s="953"/>
      <c r="C259" s="954"/>
      <c r="F259" s="953"/>
      <c r="G259" s="1103"/>
      <c r="H259" s="1103"/>
      <c r="I259" s="1099"/>
      <c r="J259" s="1099"/>
      <c r="K259" s="1014"/>
      <c r="L259" s="1019"/>
      <c r="M259" s="1014"/>
    </row>
    <row r="260" spans="1:13" s="956" customFormat="1" ht="18" customHeight="1" x14ac:dyDescent="0.25">
      <c r="A260" s="953"/>
      <c r="B260" s="953"/>
      <c r="C260" s="953"/>
      <c r="D260" s="1020"/>
      <c r="E260" s="1020"/>
      <c r="F260" s="1021" t="s">
        <v>24</v>
      </c>
      <c r="G260" s="1022"/>
      <c r="H260" s="1023"/>
      <c r="I260" s="1100" t="s">
        <v>17</v>
      </c>
      <c r="J260" s="1100"/>
      <c r="K260" s="1023"/>
      <c r="L260" s="1100" t="s">
        <v>1495</v>
      </c>
      <c r="M260" s="1100"/>
    </row>
    <row r="261" spans="1:13" s="956" customFormat="1" ht="18" customHeight="1" x14ac:dyDescent="0.25">
      <c r="A261" s="954"/>
      <c r="B261" s="953"/>
      <c r="C261" s="954"/>
      <c r="D261" s="954"/>
      <c r="E261" s="954"/>
      <c r="F261" s="1013" t="s">
        <v>1724</v>
      </c>
      <c r="G261" s="1025"/>
      <c r="H261" s="1025"/>
      <c r="I261" s="1101" t="s">
        <v>18</v>
      </c>
      <c r="J261" s="1101"/>
      <c r="K261" s="1026"/>
      <c r="L261" s="1102" t="s">
        <v>14</v>
      </c>
      <c r="M261" s="1102"/>
    </row>
    <row r="262" spans="1:13" s="956" customFormat="1" ht="18" customHeight="1" x14ac:dyDescent="0.25">
      <c r="A262" s="954"/>
      <c r="B262" s="953"/>
      <c r="C262" s="954"/>
      <c r="D262" s="954"/>
      <c r="E262" s="954"/>
      <c r="F262" s="954"/>
      <c r="G262" s="1025"/>
      <c r="H262" s="1013"/>
      <c r="I262" s="1013"/>
      <c r="K262" s="1027"/>
      <c r="L262" s="1027"/>
      <c r="M262" s="1014"/>
    </row>
    <row r="263" spans="1:13" s="956" customFormat="1" ht="18" customHeight="1" x14ac:dyDescent="0.25">
      <c r="A263" s="954"/>
      <c r="B263" s="953"/>
      <c r="C263" s="954"/>
      <c r="D263" s="954"/>
      <c r="E263" s="954"/>
      <c r="F263" s="954"/>
      <c r="G263" s="1025"/>
      <c r="H263" s="1013"/>
      <c r="I263" s="1013"/>
      <c r="K263" s="1027"/>
      <c r="L263" s="1027"/>
      <c r="M263" s="1014"/>
    </row>
    <row r="264" spans="1:13" s="956" customFormat="1" ht="18" customHeight="1" x14ac:dyDescent="0.25">
      <c r="A264" s="954"/>
      <c r="B264" s="953"/>
      <c r="C264" s="954"/>
      <c r="D264" s="954"/>
      <c r="E264" s="954"/>
      <c r="F264" s="954"/>
      <c r="G264" s="1025"/>
      <c r="H264" s="1013"/>
      <c r="I264" s="1013"/>
      <c r="K264" s="1027"/>
      <c r="L264" s="1027"/>
      <c r="M264" s="1014"/>
    </row>
    <row r="265" spans="1:13" s="956" customFormat="1" ht="18" customHeight="1" x14ac:dyDescent="0.25">
      <c r="A265" s="954"/>
      <c r="B265" s="953"/>
      <c r="C265" s="954"/>
      <c r="D265" s="954"/>
      <c r="E265" s="954"/>
      <c r="F265" s="954"/>
      <c r="G265" s="1025"/>
      <c r="H265" s="1013"/>
      <c r="I265" s="1013"/>
      <c r="K265" s="1027"/>
      <c r="L265" s="1027"/>
      <c r="M265" s="1014"/>
    </row>
    <row r="266" spans="1:13" s="956" customFormat="1" ht="18" customHeight="1" x14ac:dyDescent="0.25">
      <c r="A266" s="954"/>
      <c r="B266" s="953"/>
      <c r="C266" s="954"/>
      <c r="D266" s="954"/>
      <c r="E266" s="954"/>
      <c r="F266" s="954"/>
      <c r="G266" s="1025"/>
      <c r="H266" s="1013"/>
      <c r="I266" s="1013"/>
      <c r="K266" s="1027"/>
      <c r="L266" s="1027"/>
      <c r="M266" s="1014"/>
    </row>
    <row r="267" spans="1:13" s="956" customFormat="1" ht="18" customHeight="1" x14ac:dyDescent="0.25">
      <c r="A267" s="954"/>
      <c r="B267" s="953"/>
      <c r="C267" s="954"/>
      <c r="D267" s="954"/>
      <c r="E267" s="954"/>
      <c r="F267" s="954"/>
      <c r="G267" s="1025"/>
      <c r="H267" s="1013"/>
      <c r="I267" s="1013"/>
      <c r="K267" s="1027"/>
      <c r="L267" s="1027"/>
      <c r="M267" s="1014"/>
    </row>
    <row r="268" spans="1:13" s="956" customFormat="1" ht="18" customHeight="1" x14ac:dyDescent="0.25">
      <c r="A268" s="954"/>
      <c r="B268" s="953"/>
      <c r="C268" s="954"/>
      <c r="D268" s="954"/>
      <c r="E268" s="954"/>
      <c r="F268" s="954"/>
      <c r="G268" s="1025"/>
      <c r="H268" s="1013"/>
      <c r="I268" s="1013"/>
      <c r="K268" s="1027"/>
      <c r="L268" s="1027"/>
      <c r="M268" s="1014"/>
    </row>
    <row r="269" spans="1:13" s="956" customFormat="1" ht="18" customHeight="1" x14ac:dyDescent="0.25">
      <c r="A269" s="954"/>
      <c r="B269" s="953"/>
      <c r="C269" s="954"/>
      <c r="D269" s="954"/>
      <c r="E269" s="954"/>
      <c r="F269" s="954"/>
      <c r="G269" s="1025"/>
      <c r="H269" s="1013"/>
      <c r="I269" s="1013"/>
      <c r="K269" s="1027"/>
      <c r="L269" s="1027"/>
      <c r="M269" s="1014"/>
    </row>
    <row r="270" spans="1:13" s="956" customFormat="1" ht="18" customHeight="1" x14ac:dyDescent="0.25">
      <c r="A270" s="954"/>
      <c r="B270" s="953"/>
      <c r="C270" s="954"/>
      <c r="D270" s="954"/>
      <c r="E270" s="954"/>
      <c r="F270" s="954"/>
      <c r="G270" s="1025"/>
      <c r="H270" s="1013"/>
      <c r="I270" s="1013"/>
      <c r="K270" s="1027"/>
      <c r="L270" s="1027"/>
      <c r="M270" s="1014"/>
    </row>
    <row r="271" spans="1:13" s="956" customFormat="1" ht="18" customHeight="1" x14ac:dyDescent="0.25">
      <c r="A271" s="954"/>
      <c r="B271" s="953"/>
      <c r="C271" s="954"/>
      <c r="D271" s="954"/>
      <c r="E271" s="954"/>
      <c r="F271" s="954"/>
      <c r="G271" s="1025"/>
      <c r="H271" s="1013"/>
      <c r="I271" s="1013"/>
      <c r="K271" s="1027"/>
      <c r="L271" s="1027"/>
      <c r="M271" s="1014"/>
    </row>
    <row r="272" spans="1:13" s="956" customFormat="1" ht="18" customHeight="1" x14ac:dyDescent="0.25">
      <c r="A272" s="954"/>
      <c r="B272" s="953"/>
      <c r="C272" s="954"/>
      <c r="D272" s="954"/>
      <c r="E272" s="954"/>
      <c r="F272" s="954"/>
      <c r="G272" s="1025"/>
      <c r="H272" s="1013"/>
      <c r="I272" s="1013"/>
      <c r="K272" s="1027"/>
      <c r="L272" s="1027"/>
      <c r="M272" s="1014"/>
    </row>
    <row r="273" spans="1:13" s="956" customFormat="1" ht="18" customHeight="1" x14ac:dyDescent="0.25">
      <c r="A273" s="954"/>
      <c r="B273" s="953"/>
      <c r="C273" s="954"/>
      <c r="D273" s="954"/>
      <c r="E273" s="954"/>
      <c r="F273" s="954"/>
      <c r="G273" s="1025"/>
      <c r="H273" s="1013"/>
      <c r="I273" s="1013"/>
      <c r="K273" s="1027"/>
      <c r="L273" s="1027"/>
      <c r="M273" s="1014"/>
    </row>
    <row r="274" spans="1:13" s="956" customFormat="1" ht="18" customHeight="1" x14ac:dyDescent="0.25">
      <c r="A274" s="954"/>
      <c r="B274" s="953"/>
      <c r="C274" s="954"/>
      <c r="D274" s="954"/>
      <c r="E274" s="954"/>
      <c r="F274" s="954"/>
      <c r="G274" s="1025"/>
      <c r="H274" s="1013"/>
      <c r="I274" s="1013"/>
      <c r="K274" s="1027"/>
      <c r="L274" s="1027"/>
      <c r="M274" s="1014"/>
    </row>
    <row r="275" spans="1:13" s="956" customFormat="1" ht="18" customHeight="1" x14ac:dyDescent="0.25">
      <c r="A275" s="954"/>
      <c r="B275" s="953"/>
      <c r="C275" s="954"/>
      <c r="D275" s="954"/>
      <c r="E275" s="954"/>
      <c r="F275" s="954"/>
      <c r="G275" s="1025"/>
      <c r="H275" s="1013"/>
      <c r="I275" s="1013"/>
      <c r="K275" s="1027"/>
      <c r="L275" s="1027"/>
      <c r="M275" s="1014"/>
    </row>
    <row r="276" spans="1:13" s="1041" customFormat="1" ht="20.100000000000001" customHeight="1" x14ac:dyDescent="0.35">
      <c r="A276" s="1095" t="s">
        <v>1720</v>
      </c>
      <c r="B276" s="1095"/>
      <c r="C276" s="1095"/>
      <c r="D276" s="1095"/>
      <c r="E276" s="1095"/>
      <c r="F276" s="1095"/>
      <c r="G276" s="1095"/>
      <c r="H276" s="1095"/>
      <c r="I276" s="1095"/>
      <c r="J276" s="1095"/>
      <c r="K276" s="1095"/>
      <c r="L276" s="1095"/>
      <c r="M276" s="1095"/>
    </row>
    <row r="277" spans="1:13" s="956" customFormat="1" ht="18" customHeight="1" x14ac:dyDescent="0.25">
      <c r="A277" s="953"/>
      <c r="B277" s="954"/>
      <c r="C277" s="954"/>
      <c r="D277" s="954"/>
      <c r="E277" s="954"/>
      <c r="F277" s="954"/>
      <c r="G277" s="954"/>
      <c r="H277" s="954"/>
      <c r="I277" s="954"/>
      <c r="J277" s="954"/>
      <c r="K277" s="954"/>
      <c r="L277" s="954"/>
      <c r="M277" s="955"/>
    </row>
    <row r="278" spans="1:13" s="956" customFormat="1" ht="18" customHeight="1" x14ac:dyDescent="0.25">
      <c r="A278" s="1087" t="s">
        <v>21</v>
      </c>
      <c r="B278" s="1087"/>
      <c r="C278" s="1087"/>
      <c r="D278" s="1087"/>
      <c r="E278" s="1087"/>
      <c r="F278" s="1087"/>
      <c r="G278" s="1087"/>
      <c r="H278" s="1087"/>
      <c r="I278" s="1087"/>
      <c r="J278" s="1087"/>
      <c r="K278" s="1087"/>
      <c r="L278" s="1087"/>
      <c r="M278" s="1087"/>
    </row>
    <row r="279" spans="1:13" s="956" customFormat="1" ht="18" customHeight="1" x14ac:dyDescent="0.25">
      <c r="A279" s="1087" t="s">
        <v>364</v>
      </c>
      <c r="B279" s="1087"/>
      <c r="C279" s="1087"/>
      <c r="D279" s="1087"/>
      <c r="E279" s="1087"/>
      <c r="F279" s="1087"/>
      <c r="G279" s="1087"/>
      <c r="H279" s="1087"/>
      <c r="I279" s="1087"/>
      <c r="J279" s="1087"/>
      <c r="K279" s="1087"/>
      <c r="L279" s="1087"/>
      <c r="M279" s="1087"/>
    </row>
    <row r="280" spans="1:13" s="956" customFormat="1" ht="18" customHeight="1" x14ac:dyDescent="0.25">
      <c r="A280" s="957"/>
      <c r="B280" s="957"/>
      <c r="C280" s="957"/>
      <c r="D280" s="957"/>
      <c r="E280" s="957"/>
      <c r="F280" s="957"/>
      <c r="G280" s="957"/>
      <c r="H280" s="957"/>
      <c r="I280" s="957"/>
      <c r="J280" s="957"/>
      <c r="K280" s="957"/>
      <c r="L280" s="957"/>
      <c r="M280" s="957"/>
    </row>
    <row r="281" spans="1:13" s="956" customFormat="1" ht="18" customHeight="1" x14ac:dyDescent="0.25">
      <c r="A281" s="958" t="s">
        <v>1726</v>
      </c>
      <c r="B281" s="957"/>
      <c r="C281" s="959"/>
      <c r="D281" s="957"/>
      <c r="E281" s="957"/>
      <c r="F281" s="957"/>
      <c r="G281" s="957"/>
      <c r="H281" s="957"/>
      <c r="I281" s="957"/>
      <c r="J281" s="957"/>
      <c r="K281" s="957"/>
      <c r="L281" s="957"/>
      <c r="M281" s="957"/>
    </row>
    <row r="282" spans="1:13" ht="18" customHeight="1" thickBot="1" x14ac:dyDescent="0.25">
      <c r="A282" s="1088"/>
      <c r="B282" s="1088"/>
      <c r="C282" s="1088"/>
      <c r="D282" s="1088"/>
      <c r="E282" s="1088"/>
      <c r="F282" s="1088"/>
      <c r="G282" s="1088"/>
      <c r="H282" s="1088"/>
      <c r="I282" s="1088"/>
      <c r="J282" s="1088"/>
      <c r="K282" s="1088"/>
      <c r="L282" s="1088"/>
      <c r="M282" s="1088"/>
    </row>
    <row r="283" spans="1:13" ht="18" customHeight="1" x14ac:dyDescent="0.2">
      <c r="A283" s="961"/>
      <c r="B283" s="962"/>
      <c r="C283" s="962"/>
      <c r="D283" s="962"/>
      <c r="E283" s="962"/>
      <c r="F283" s="963"/>
      <c r="G283" s="964"/>
      <c r="H283" s="965"/>
      <c r="I283" s="965"/>
      <c r="J283" s="1089" t="s">
        <v>633</v>
      </c>
      <c r="K283" s="1090"/>
      <c r="L283" s="1091"/>
      <c r="M283" s="966"/>
    </row>
    <row r="284" spans="1:13" ht="18" customHeight="1" x14ac:dyDescent="0.2">
      <c r="A284" s="1092"/>
      <c r="B284" s="1093"/>
      <c r="C284" s="1093"/>
      <c r="D284" s="1093"/>
      <c r="E284" s="1093"/>
      <c r="F284" s="1094"/>
      <c r="G284" s="967"/>
      <c r="H284" s="968"/>
      <c r="I284" s="968" t="s">
        <v>6</v>
      </c>
      <c r="J284" s="968" t="s">
        <v>580</v>
      </c>
      <c r="K284" s="968" t="s">
        <v>581</v>
      </c>
      <c r="L284" s="968"/>
      <c r="M284" s="969" t="s">
        <v>7</v>
      </c>
    </row>
    <row r="285" spans="1:13" ht="18" customHeight="1" x14ac:dyDescent="0.25">
      <c r="A285" s="1092" t="s">
        <v>22</v>
      </c>
      <c r="B285" s="1093"/>
      <c r="C285" s="1093"/>
      <c r="D285" s="1093"/>
      <c r="E285" s="1093"/>
      <c r="F285" s="1094"/>
      <c r="G285" s="970"/>
      <c r="H285" s="971" t="s">
        <v>634</v>
      </c>
      <c r="I285" s="968" t="s">
        <v>579</v>
      </c>
      <c r="J285" s="968" t="s">
        <v>579</v>
      </c>
      <c r="K285" s="968" t="s">
        <v>582</v>
      </c>
      <c r="L285" s="968" t="s">
        <v>15</v>
      </c>
      <c r="M285" s="969" t="s">
        <v>584</v>
      </c>
    </row>
    <row r="286" spans="1:13" ht="18" customHeight="1" x14ac:dyDescent="0.2">
      <c r="A286" s="972"/>
      <c r="B286" s="973"/>
      <c r="C286" s="973"/>
      <c r="D286" s="973"/>
      <c r="E286" s="973"/>
      <c r="F286" s="974"/>
      <c r="G286" s="970"/>
      <c r="H286" s="968"/>
      <c r="I286" s="968">
        <v>2019</v>
      </c>
      <c r="J286" s="968">
        <v>2020</v>
      </c>
      <c r="K286" s="968">
        <v>2020</v>
      </c>
      <c r="L286" s="968">
        <v>2020</v>
      </c>
      <c r="M286" s="969">
        <v>2021</v>
      </c>
    </row>
    <row r="287" spans="1:13" ht="18" customHeight="1" thickBot="1" x14ac:dyDescent="0.25">
      <c r="A287" s="1096"/>
      <c r="B287" s="1097"/>
      <c r="C287" s="1097"/>
      <c r="D287" s="1097"/>
      <c r="E287" s="1097"/>
      <c r="F287" s="1098"/>
      <c r="G287" s="975"/>
      <c r="H287" s="976"/>
      <c r="I287" s="976"/>
      <c r="J287" s="976"/>
      <c r="K287" s="976"/>
      <c r="L287" s="976"/>
      <c r="M287" s="977"/>
    </row>
    <row r="288" spans="1:13" ht="18" customHeight="1" x14ac:dyDescent="0.25">
      <c r="A288" s="978"/>
      <c r="B288" s="979" t="s">
        <v>372</v>
      </c>
      <c r="C288" s="980"/>
      <c r="D288" s="979"/>
      <c r="E288" s="979"/>
      <c r="F288" s="981"/>
      <c r="G288" s="982"/>
      <c r="H288" s="1028"/>
      <c r="I288" s="1029"/>
      <c r="J288" s="1030"/>
      <c r="K288" s="1030"/>
      <c r="L288" s="1030"/>
      <c r="M288" s="1030"/>
    </row>
    <row r="289" spans="1:13" ht="18" customHeight="1" x14ac:dyDescent="0.25">
      <c r="A289" s="986"/>
      <c r="B289" s="987"/>
      <c r="C289" s="987" t="s">
        <v>532</v>
      </c>
      <c r="D289" s="987"/>
      <c r="E289" s="987"/>
      <c r="F289" s="988"/>
      <c r="G289" s="989"/>
      <c r="H289" s="1031"/>
      <c r="I289" s="1032"/>
      <c r="J289" s="1033"/>
      <c r="K289" s="1033"/>
      <c r="L289" s="1033"/>
      <c r="M289" s="1033"/>
    </row>
    <row r="290" spans="1:13" ht="18" customHeight="1" x14ac:dyDescent="0.25">
      <c r="A290" s="986"/>
      <c r="B290" s="987"/>
      <c r="C290" s="987"/>
      <c r="D290" s="987" t="s">
        <v>533</v>
      </c>
      <c r="E290" s="987"/>
      <c r="F290" s="988"/>
      <c r="G290" s="989" t="s">
        <v>603</v>
      </c>
      <c r="H290" s="993" t="s">
        <v>698</v>
      </c>
      <c r="I290" s="994">
        <v>1335456</v>
      </c>
      <c r="J290" s="995">
        <v>690480</v>
      </c>
      <c r="K290" s="995">
        <f>1382150-J290</f>
        <v>691670</v>
      </c>
      <c r="L290" s="995">
        <f>SUM(K290+J290)</f>
        <v>1382150</v>
      </c>
      <c r="M290" s="995">
        <v>1425240</v>
      </c>
    </row>
    <row r="291" spans="1:13" ht="18" customHeight="1" x14ac:dyDescent="0.25">
      <c r="A291" s="986"/>
      <c r="B291" s="987"/>
      <c r="C291" s="987" t="s">
        <v>534</v>
      </c>
      <c r="D291" s="987"/>
      <c r="E291" s="987"/>
      <c r="F291" s="988"/>
      <c r="G291" s="989"/>
      <c r="H291" s="1031"/>
      <c r="I291" s="994"/>
      <c r="J291" s="995"/>
      <c r="K291" s="995"/>
      <c r="L291" s="995"/>
      <c r="M291" s="995"/>
    </row>
    <row r="292" spans="1:13" ht="18" customHeight="1" x14ac:dyDescent="0.25">
      <c r="A292" s="986"/>
      <c r="B292" s="987"/>
      <c r="C292" s="987"/>
      <c r="D292" s="987" t="s">
        <v>535</v>
      </c>
      <c r="E292" s="987"/>
      <c r="F292" s="988"/>
      <c r="G292" s="989" t="s">
        <v>604</v>
      </c>
      <c r="H292" s="993" t="s">
        <v>699</v>
      </c>
      <c r="I292" s="994">
        <v>72000</v>
      </c>
      <c r="J292" s="995">
        <v>36000</v>
      </c>
      <c r="K292" s="995">
        <f>72000-J292</f>
        <v>36000</v>
      </c>
      <c r="L292" s="995">
        <f t="shared" ref="L292:L308" si="9">SUM(K292+J292)</f>
        <v>72000</v>
      </c>
      <c r="M292" s="995">
        <v>72000</v>
      </c>
    </row>
    <row r="293" spans="1:13" ht="18" customHeight="1" x14ac:dyDescent="0.25">
      <c r="A293" s="986"/>
      <c r="B293" s="987"/>
      <c r="C293" s="987"/>
      <c r="D293" s="987" t="s">
        <v>546</v>
      </c>
      <c r="E293" s="987"/>
      <c r="F293" s="988"/>
      <c r="G293" s="989" t="s">
        <v>605</v>
      </c>
      <c r="H293" s="993" t="s">
        <v>700</v>
      </c>
      <c r="I293" s="994">
        <v>76500</v>
      </c>
      <c r="J293" s="995">
        <v>38250</v>
      </c>
      <c r="K293" s="995">
        <f>76500-J293</f>
        <v>38250</v>
      </c>
      <c r="L293" s="995">
        <f t="shared" si="9"/>
        <v>76500</v>
      </c>
      <c r="M293" s="995">
        <v>76500</v>
      </c>
    </row>
    <row r="294" spans="1:13" ht="18" customHeight="1" x14ac:dyDescent="0.25">
      <c r="A294" s="986"/>
      <c r="B294" s="987"/>
      <c r="C294" s="987"/>
      <c r="D294" s="987" t="s">
        <v>545</v>
      </c>
      <c r="E294" s="987"/>
      <c r="F294" s="988"/>
      <c r="G294" s="989" t="s">
        <v>606</v>
      </c>
      <c r="H294" s="993" t="s">
        <v>701</v>
      </c>
      <c r="I294" s="994">
        <v>76500</v>
      </c>
      <c r="J294" s="995">
        <v>38250</v>
      </c>
      <c r="K294" s="995">
        <f>76500-J294</f>
        <v>38250</v>
      </c>
      <c r="L294" s="995">
        <f t="shared" si="9"/>
        <v>76500</v>
      </c>
      <c r="M294" s="995">
        <v>76500</v>
      </c>
    </row>
    <row r="295" spans="1:13" ht="18" customHeight="1" x14ac:dyDescent="0.25">
      <c r="A295" s="986"/>
      <c r="B295" s="987"/>
      <c r="C295" s="987"/>
      <c r="D295" s="987" t="s">
        <v>547</v>
      </c>
      <c r="E295" s="987"/>
      <c r="F295" s="988"/>
      <c r="G295" s="989" t="s">
        <v>607</v>
      </c>
      <c r="H295" s="993" t="s">
        <v>702</v>
      </c>
      <c r="I295" s="994">
        <v>18000</v>
      </c>
      <c r="J295" s="995">
        <v>18000</v>
      </c>
      <c r="K295" s="995">
        <f>18000-J295</f>
        <v>0</v>
      </c>
      <c r="L295" s="995">
        <f t="shared" si="9"/>
        <v>18000</v>
      </c>
      <c r="M295" s="995">
        <v>18000</v>
      </c>
    </row>
    <row r="296" spans="1:13" ht="18" customHeight="1" x14ac:dyDescent="0.25">
      <c r="A296" s="986"/>
      <c r="B296" s="987"/>
      <c r="C296" s="987"/>
      <c r="D296" s="987" t="s">
        <v>696</v>
      </c>
      <c r="E296" s="987"/>
      <c r="F296" s="988"/>
      <c r="G296" s="989" t="s">
        <v>609</v>
      </c>
      <c r="H296" s="993" t="s">
        <v>703</v>
      </c>
      <c r="I296" s="994">
        <v>15000</v>
      </c>
      <c r="J296" s="995">
        <v>0</v>
      </c>
      <c r="K296" s="995">
        <f>15000-J296</f>
        <v>15000</v>
      </c>
      <c r="L296" s="995">
        <f t="shared" si="9"/>
        <v>15000</v>
      </c>
      <c r="M296" s="995">
        <v>15000</v>
      </c>
    </row>
    <row r="297" spans="1:13" ht="18" customHeight="1" x14ac:dyDescent="0.25">
      <c r="A297" s="986"/>
      <c r="B297" s="987"/>
      <c r="C297" s="987"/>
      <c r="D297" s="987" t="s">
        <v>549</v>
      </c>
      <c r="E297" s="987"/>
      <c r="F297" s="988"/>
      <c r="G297" s="989" t="s">
        <v>440</v>
      </c>
      <c r="H297" s="993" t="s">
        <v>704</v>
      </c>
      <c r="I297" s="994">
        <v>0</v>
      </c>
      <c r="J297" s="995">
        <v>0</v>
      </c>
      <c r="K297" s="995">
        <f>5000-J297</f>
        <v>5000</v>
      </c>
      <c r="L297" s="995">
        <f t="shared" si="9"/>
        <v>5000</v>
      </c>
      <c r="M297" s="995">
        <v>5000</v>
      </c>
    </row>
    <row r="298" spans="1:13" ht="18" customHeight="1" x14ac:dyDescent="0.25">
      <c r="A298" s="986"/>
      <c r="B298" s="987"/>
      <c r="C298" s="987"/>
      <c r="D298" s="987" t="s">
        <v>1562</v>
      </c>
      <c r="E298" s="987"/>
      <c r="F298" s="988"/>
      <c r="G298" s="989"/>
      <c r="H298" s="993" t="s">
        <v>704</v>
      </c>
      <c r="I298" s="994">
        <v>51939.19</v>
      </c>
      <c r="J298" s="995">
        <v>73284.98</v>
      </c>
      <c r="K298" s="995">
        <f>73284.98-J298</f>
        <v>0</v>
      </c>
      <c r="L298" s="995">
        <f t="shared" si="9"/>
        <v>73284.98</v>
      </c>
      <c r="M298" s="995">
        <v>0</v>
      </c>
    </row>
    <row r="299" spans="1:13" ht="18" customHeight="1" x14ac:dyDescent="0.25">
      <c r="A299" s="986"/>
      <c r="B299" s="987"/>
      <c r="C299" s="987"/>
      <c r="D299" s="987" t="s">
        <v>373</v>
      </c>
      <c r="E299" s="987"/>
      <c r="F299" s="988"/>
      <c r="G299" s="989" t="s">
        <v>611</v>
      </c>
      <c r="H299" s="993" t="s">
        <v>721</v>
      </c>
      <c r="I299" s="994">
        <f>8196.83+6672.84</f>
        <v>14869.67</v>
      </c>
      <c r="J299" s="995">
        <v>0</v>
      </c>
      <c r="K299" s="995">
        <f>15000-J299</f>
        <v>15000</v>
      </c>
      <c r="L299" s="995">
        <f t="shared" si="9"/>
        <v>15000</v>
      </c>
      <c r="M299" s="995">
        <v>15000</v>
      </c>
    </row>
    <row r="300" spans="1:13" ht="18" customHeight="1" x14ac:dyDescent="0.25">
      <c r="A300" s="986"/>
      <c r="B300" s="987"/>
      <c r="C300" s="987"/>
      <c r="D300" s="987" t="s">
        <v>552</v>
      </c>
      <c r="E300" s="987"/>
      <c r="F300" s="988"/>
      <c r="G300" s="989" t="s">
        <v>612</v>
      </c>
      <c r="H300" s="993" t="s">
        <v>705</v>
      </c>
      <c r="I300" s="994">
        <v>15000</v>
      </c>
      <c r="J300" s="995">
        <v>0</v>
      </c>
      <c r="K300" s="995">
        <f>15000-J300</f>
        <v>15000</v>
      </c>
      <c r="L300" s="995">
        <f t="shared" si="9"/>
        <v>15000</v>
      </c>
      <c r="M300" s="995">
        <v>15000</v>
      </c>
    </row>
    <row r="301" spans="1:13" ht="18" customHeight="1" x14ac:dyDescent="0.25">
      <c r="A301" s="986"/>
      <c r="B301" s="987"/>
      <c r="C301" s="987"/>
      <c r="D301" s="987" t="s">
        <v>816</v>
      </c>
      <c r="E301" s="987"/>
      <c r="F301" s="987"/>
      <c r="G301" s="997" t="s">
        <v>440</v>
      </c>
      <c r="H301" s="993" t="s">
        <v>704</v>
      </c>
      <c r="I301" s="994">
        <v>111288</v>
      </c>
      <c r="J301" s="995">
        <v>115080</v>
      </c>
      <c r="K301" s="995">
        <f>115080-J301</f>
        <v>0</v>
      </c>
      <c r="L301" s="995">
        <f t="shared" si="9"/>
        <v>115080</v>
      </c>
      <c r="M301" s="995">
        <v>118770</v>
      </c>
    </row>
    <row r="302" spans="1:13" ht="18" customHeight="1" x14ac:dyDescent="0.25">
      <c r="A302" s="986"/>
      <c r="B302" s="987"/>
      <c r="C302" s="987"/>
      <c r="D302" s="987" t="s">
        <v>553</v>
      </c>
      <c r="E302" s="987"/>
      <c r="F302" s="988"/>
      <c r="G302" s="989" t="s">
        <v>613</v>
      </c>
      <c r="H302" s="993" t="s">
        <v>706</v>
      </c>
      <c r="I302" s="994">
        <v>111288</v>
      </c>
      <c r="J302" s="995">
        <v>0</v>
      </c>
      <c r="K302" s="995">
        <f>115345-J302</f>
        <v>115345</v>
      </c>
      <c r="L302" s="995">
        <f t="shared" si="9"/>
        <v>115345</v>
      </c>
      <c r="M302" s="995">
        <v>118770</v>
      </c>
    </row>
    <row r="303" spans="1:13" ht="18" customHeight="1" x14ac:dyDescent="0.25">
      <c r="A303" s="986"/>
      <c r="B303" s="987"/>
      <c r="C303" s="987"/>
      <c r="D303" s="987" t="s">
        <v>669</v>
      </c>
      <c r="E303" s="987"/>
      <c r="F303" s="988"/>
      <c r="G303" s="989" t="s">
        <v>614</v>
      </c>
      <c r="H303" s="993" t="s">
        <v>707</v>
      </c>
      <c r="I303" s="994">
        <f>144223.2+16031.52</f>
        <v>160254.72</v>
      </c>
      <c r="J303" s="995">
        <v>66772.800000000003</v>
      </c>
      <c r="K303" s="995">
        <f>166200-J303</f>
        <v>99427.199999999997</v>
      </c>
      <c r="L303" s="995">
        <f t="shared" si="9"/>
        <v>166200</v>
      </c>
      <c r="M303" s="995">
        <v>171500</v>
      </c>
    </row>
    <row r="304" spans="1:13" ht="18" customHeight="1" x14ac:dyDescent="0.25">
      <c r="A304" s="986"/>
      <c r="B304" s="987"/>
      <c r="C304" s="987"/>
      <c r="D304" s="987" t="s">
        <v>554</v>
      </c>
      <c r="E304" s="987"/>
      <c r="F304" s="988"/>
      <c r="G304" s="989" t="s">
        <v>615</v>
      </c>
      <c r="H304" s="993" t="s">
        <v>708</v>
      </c>
      <c r="I304" s="994">
        <v>3600</v>
      </c>
      <c r="J304" s="995">
        <v>1500</v>
      </c>
      <c r="K304" s="995">
        <f>3600-J304</f>
        <v>2100</v>
      </c>
      <c r="L304" s="995">
        <f t="shared" si="9"/>
        <v>3600</v>
      </c>
      <c r="M304" s="995">
        <v>5400</v>
      </c>
    </row>
    <row r="305" spans="1:13" ht="18" customHeight="1" x14ac:dyDescent="0.25">
      <c r="A305" s="986"/>
      <c r="B305" s="987"/>
      <c r="C305" s="987"/>
      <c r="D305" s="987" t="s">
        <v>555</v>
      </c>
      <c r="E305" s="987"/>
      <c r="F305" s="988"/>
      <c r="G305" s="989" t="s">
        <v>616</v>
      </c>
      <c r="H305" s="993" t="s">
        <v>709</v>
      </c>
      <c r="I305" s="994">
        <v>11838.75</v>
      </c>
      <c r="J305" s="995">
        <v>6915</v>
      </c>
      <c r="K305" s="995">
        <f>21200-J305</f>
        <v>14285</v>
      </c>
      <c r="L305" s="995">
        <f t="shared" si="9"/>
        <v>21200</v>
      </c>
      <c r="M305" s="995">
        <v>25500</v>
      </c>
    </row>
    <row r="306" spans="1:13" ht="18" customHeight="1" x14ac:dyDescent="0.25">
      <c r="A306" s="986"/>
      <c r="B306" s="987"/>
      <c r="C306" s="987"/>
      <c r="D306" s="987" t="s">
        <v>665</v>
      </c>
      <c r="E306" s="987"/>
      <c r="F306" s="988"/>
      <c r="G306" s="989" t="s">
        <v>617</v>
      </c>
      <c r="H306" s="993" t="s">
        <v>710</v>
      </c>
      <c r="I306" s="994">
        <f>3300+300</f>
        <v>3600</v>
      </c>
      <c r="J306" s="995">
        <v>1500</v>
      </c>
      <c r="K306" s="995">
        <f>3600-J306</f>
        <v>2100</v>
      </c>
      <c r="L306" s="995">
        <f t="shared" si="9"/>
        <v>3600</v>
      </c>
      <c r="M306" s="995">
        <v>3600</v>
      </c>
    </row>
    <row r="307" spans="1:13" ht="18" customHeight="1" x14ac:dyDescent="0.25">
      <c r="A307" s="986"/>
      <c r="B307" s="987"/>
      <c r="C307" s="987"/>
      <c r="D307" s="987" t="s">
        <v>557</v>
      </c>
      <c r="E307" s="987"/>
      <c r="F307" s="988"/>
      <c r="G307" s="989" t="s">
        <v>403</v>
      </c>
      <c r="H307" s="993" t="s">
        <v>722</v>
      </c>
      <c r="I307" s="994">
        <v>0</v>
      </c>
      <c r="J307" s="995">
        <v>251915.1</v>
      </c>
      <c r="K307" s="995">
        <f>251915.1-J307</f>
        <v>0</v>
      </c>
      <c r="L307" s="995">
        <f t="shared" si="9"/>
        <v>251915.1</v>
      </c>
      <c r="M307" s="995">
        <v>0</v>
      </c>
    </row>
    <row r="308" spans="1:13" ht="18" customHeight="1" x14ac:dyDescent="0.25">
      <c r="A308" s="986"/>
      <c r="B308" s="987"/>
      <c r="C308" s="987"/>
      <c r="D308" s="987" t="s">
        <v>1563</v>
      </c>
      <c r="E308" s="987"/>
      <c r="F308" s="988"/>
      <c r="G308" s="989"/>
      <c r="H308" s="993" t="s">
        <v>722</v>
      </c>
      <c r="I308" s="994">
        <v>30000</v>
      </c>
      <c r="J308" s="995">
        <v>0</v>
      </c>
      <c r="K308" s="995">
        <f>0-J308</f>
        <v>0</v>
      </c>
      <c r="L308" s="995">
        <f t="shared" si="9"/>
        <v>0</v>
      </c>
      <c r="M308" s="995"/>
    </row>
    <row r="309" spans="1:13" s="1003" customFormat="1" ht="18" customHeight="1" x14ac:dyDescent="0.25">
      <c r="A309" s="998"/>
      <c r="B309" s="999"/>
      <c r="C309" s="999"/>
      <c r="D309" s="999" t="s">
        <v>377</v>
      </c>
      <c r="E309" s="999"/>
      <c r="F309" s="1000"/>
      <c r="G309" s="1001"/>
      <c r="H309" s="1034"/>
      <c r="I309" s="1002">
        <f>SUM(I290:I308)</f>
        <v>2107134.33</v>
      </c>
      <c r="J309" s="1002">
        <f>SUM(J290:J308)</f>
        <v>1337947.8800000001</v>
      </c>
      <c r="K309" s="1002">
        <f>SUM(K290:K308)</f>
        <v>1087427.2</v>
      </c>
      <c r="L309" s="1002">
        <f>SUM(L290:L308)</f>
        <v>2425375.08</v>
      </c>
      <c r="M309" s="1002">
        <f>SUM(M290:M308)</f>
        <v>2161780</v>
      </c>
    </row>
    <row r="310" spans="1:13" ht="18" customHeight="1" x14ac:dyDescent="0.25">
      <c r="A310" s="986"/>
      <c r="B310" s="987" t="s">
        <v>558</v>
      </c>
      <c r="C310" s="987"/>
      <c r="D310" s="987"/>
      <c r="E310" s="987"/>
      <c r="F310" s="988"/>
      <c r="G310" s="989"/>
      <c r="H310" s="1031"/>
      <c r="I310" s="994"/>
      <c r="J310" s="995"/>
      <c r="K310" s="995"/>
      <c r="L310" s="995"/>
      <c r="M310" s="995"/>
    </row>
    <row r="311" spans="1:13" ht="18" customHeight="1" x14ac:dyDescent="0.25">
      <c r="A311" s="986"/>
      <c r="B311" s="987"/>
      <c r="C311" s="987"/>
      <c r="D311" s="987" t="s">
        <v>559</v>
      </c>
      <c r="E311" s="987"/>
      <c r="F311" s="988"/>
      <c r="G311" s="989" t="s">
        <v>390</v>
      </c>
      <c r="H311" s="993" t="s">
        <v>712</v>
      </c>
      <c r="I311" s="994">
        <v>33461</v>
      </c>
      <c r="J311" s="995">
        <v>3250</v>
      </c>
      <c r="K311" s="995">
        <f>120000-J311</f>
        <v>116750</v>
      </c>
      <c r="L311" s="995">
        <f t="shared" ref="L311:L316" si="10">SUM(K311+J311)</f>
        <v>120000</v>
      </c>
      <c r="M311" s="995">
        <f>120000-12000-20000</f>
        <v>88000</v>
      </c>
    </row>
    <row r="312" spans="1:13" ht="18" customHeight="1" x14ac:dyDescent="0.25">
      <c r="A312" s="986"/>
      <c r="B312" s="987"/>
      <c r="C312" s="987"/>
      <c r="D312" s="987" t="s">
        <v>436</v>
      </c>
      <c r="E312" s="987"/>
      <c r="F312" s="988"/>
      <c r="G312" s="989" t="s">
        <v>391</v>
      </c>
      <c r="H312" s="993" t="s">
        <v>713</v>
      </c>
      <c r="I312" s="994">
        <v>24800</v>
      </c>
      <c r="J312" s="995">
        <v>0</v>
      </c>
      <c r="K312" s="995">
        <f>100000-J312</f>
        <v>100000</v>
      </c>
      <c r="L312" s="995">
        <f t="shared" si="10"/>
        <v>100000</v>
      </c>
      <c r="M312" s="995">
        <v>100000</v>
      </c>
    </row>
    <row r="313" spans="1:13" ht="18" customHeight="1" x14ac:dyDescent="0.25">
      <c r="A313" s="986"/>
      <c r="B313" s="987"/>
      <c r="C313" s="987"/>
      <c r="D313" s="987" t="s">
        <v>384</v>
      </c>
      <c r="E313" s="987"/>
      <c r="F313" s="988"/>
      <c r="G313" s="989" t="s">
        <v>393</v>
      </c>
      <c r="H313" s="993" t="s">
        <v>714</v>
      </c>
      <c r="I313" s="994">
        <v>54734.95</v>
      </c>
      <c r="J313" s="995">
        <v>48352</v>
      </c>
      <c r="K313" s="995">
        <f>70000-J313</f>
        <v>21648</v>
      </c>
      <c r="L313" s="995">
        <f t="shared" si="10"/>
        <v>70000</v>
      </c>
      <c r="M313" s="995">
        <f>70000</f>
        <v>70000</v>
      </c>
    </row>
    <row r="314" spans="1:13" ht="18" customHeight="1" x14ac:dyDescent="0.25">
      <c r="A314" s="986"/>
      <c r="B314" s="987"/>
      <c r="C314" s="987"/>
      <c r="D314" s="987" t="s">
        <v>565</v>
      </c>
      <c r="E314" s="987"/>
      <c r="F314" s="988"/>
      <c r="G314" s="989" t="s">
        <v>394</v>
      </c>
      <c r="H314" s="993" t="s">
        <v>716</v>
      </c>
      <c r="I314" s="994">
        <v>24000</v>
      </c>
      <c r="J314" s="995">
        <v>12000</v>
      </c>
      <c r="K314" s="995">
        <f>24000-J314</f>
        <v>12000</v>
      </c>
      <c r="L314" s="995">
        <f t="shared" si="10"/>
        <v>24000</v>
      </c>
      <c r="M314" s="995">
        <f>30000+12000</f>
        <v>42000</v>
      </c>
    </row>
    <row r="315" spans="1:13" ht="18" customHeight="1" x14ac:dyDescent="0.25">
      <c r="A315" s="986"/>
      <c r="B315" s="987"/>
      <c r="C315" s="987"/>
      <c r="D315" s="987" t="s">
        <v>945</v>
      </c>
      <c r="E315" s="987"/>
      <c r="F315" s="988"/>
      <c r="G315" s="989" t="s">
        <v>395</v>
      </c>
      <c r="H315" s="993" t="s">
        <v>717</v>
      </c>
      <c r="I315" s="994">
        <v>4350</v>
      </c>
      <c r="J315" s="995">
        <v>850</v>
      </c>
      <c r="K315" s="995">
        <f>10000-J315</f>
        <v>9150</v>
      </c>
      <c r="L315" s="995">
        <f t="shared" si="10"/>
        <v>10000</v>
      </c>
      <c r="M315" s="995">
        <v>10000</v>
      </c>
    </row>
    <row r="316" spans="1:13" ht="18" customHeight="1" x14ac:dyDescent="0.25">
      <c r="A316" s="986"/>
      <c r="B316" s="987"/>
      <c r="C316" s="987"/>
      <c r="D316" s="987" t="s">
        <v>572</v>
      </c>
      <c r="E316" s="987"/>
      <c r="F316" s="988"/>
      <c r="G316" s="989" t="s">
        <v>396</v>
      </c>
      <c r="H316" s="993" t="s">
        <v>718</v>
      </c>
      <c r="I316" s="994">
        <v>75000</v>
      </c>
      <c r="J316" s="995">
        <v>0</v>
      </c>
      <c r="K316" s="995">
        <f>0-J316</f>
        <v>0</v>
      </c>
      <c r="L316" s="995">
        <f t="shared" si="10"/>
        <v>0</v>
      </c>
      <c r="M316" s="995">
        <v>0</v>
      </c>
    </row>
    <row r="317" spans="1:13" s="1003" customFormat="1" ht="18" customHeight="1" x14ac:dyDescent="0.25">
      <c r="A317" s="998"/>
      <c r="B317" s="999"/>
      <c r="C317" s="999"/>
      <c r="D317" s="999" t="s">
        <v>763</v>
      </c>
      <c r="E317" s="999"/>
      <c r="F317" s="1000"/>
      <c r="G317" s="1001"/>
      <c r="H317" s="1034"/>
      <c r="I317" s="1002">
        <f>SUM(I311:I316)</f>
        <v>216345.95</v>
      </c>
      <c r="J317" s="1002">
        <f>SUM(J311:J316)</f>
        <v>64452</v>
      </c>
      <c r="K317" s="1002">
        <f>SUM(K311:K316)</f>
        <v>259548</v>
      </c>
      <c r="L317" s="1002">
        <f>SUM(L311:L316)</f>
        <v>324000</v>
      </c>
      <c r="M317" s="1002">
        <f>SUM(M311:M316)</f>
        <v>310000</v>
      </c>
    </row>
    <row r="318" spans="1:13" ht="18" customHeight="1" x14ac:dyDescent="0.25">
      <c r="A318" s="986"/>
      <c r="B318" s="987" t="s">
        <v>573</v>
      </c>
      <c r="C318" s="987"/>
      <c r="D318" s="987"/>
      <c r="E318" s="987"/>
      <c r="F318" s="988"/>
      <c r="G318" s="989"/>
      <c r="H318" s="1031"/>
      <c r="I318" s="994"/>
      <c r="J318" s="995"/>
      <c r="K318" s="995"/>
      <c r="L318" s="995"/>
      <c r="M318" s="995"/>
    </row>
    <row r="319" spans="1:13" ht="18" customHeight="1" x14ac:dyDescent="0.25">
      <c r="A319" s="986"/>
      <c r="B319" s="987"/>
      <c r="C319" s="987"/>
      <c r="D319" s="987" t="s">
        <v>697</v>
      </c>
      <c r="E319" s="987"/>
      <c r="F319" s="988"/>
      <c r="G319" s="989" t="s">
        <v>859</v>
      </c>
      <c r="H319" s="993" t="s">
        <v>860</v>
      </c>
      <c r="I319" s="994">
        <v>0</v>
      </c>
      <c r="J319" s="995">
        <v>0</v>
      </c>
      <c r="K319" s="995">
        <f>0-J319</f>
        <v>0</v>
      </c>
      <c r="L319" s="995">
        <f>SUM(K319+J319)</f>
        <v>0</v>
      </c>
      <c r="M319" s="995">
        <v>0</v>
      </c>
    </row>
    <row r="320" spans="1:13" ht="18" customHeight="1" x14ac:dyDescent="0.25">
      <c r="A320" s="986"/>
      <c r="B320" s="987"/>
      <c r="C320" s="987"/>
      <c r="D320" s="987" t="s">
        <v>929</v>
      </c>
      <c r="E320" s="987"/>
      <c r="F320" s="988"/>
      <c r="G320" s="989" t="s">
        <v>861</v>
      </c>
      <c r="H320" s="993" t="s">
        <v>1640</v>
      </c>
      <c r="I320" s="994">
        <v>11582</v>
      </c>
      <c r="J320" s="995">
        <v>0</v>
      </c>
      <c r="K320" s="995">
        <f>50000-J320</f>
        <v>50000</v>
      </c>
      <c r="L320" s="995">
        <f>SUM(K320+J320)</f>
        <v>50000</v>
      </c>
      <c r="M320" s="995">
        <v>0</v>
      </c>
    </row>
    <row r="321" spans="1:13" ht="18" customHeight="1" x14ac:dyDescent="0.25">
      <c r="A321" s="986"/>
      <c r="B321" s="987"/>
      <c r="C321" s="987"/>
      <c r="D321" s="987" t="s">
        <v>868</v>
      </c>
      <c r="E321" s="987"/>
      <c r="F321" s="988"/>
      <c r="G321" s="989" t="s">
        <v>932</v>
      </c>
      <c r="H321" s="993" t="s">
        <v>869</v>
      </c>
      <c r="I321" s="994">
        <v>0</v>
      </c>
      <c r="J321" s="995">
        <v>0</v>
      </c>
      <c r="K321" s="995">
        <v>0</v>
      </c>
      <c r="L321" s="995">
        <f>SUM(K321+J321)</f>
        <v>0</v>
      </c>
      <c r="M321" s="995">
        <f>20000</f>
        <v>20000</v>
      </c>
    </row>
    <row r="322" spans="1:13" s="1003" customFormat="1" ht="18" customHeight="1" x14ac:dyDescent="0.25">
      <c r="A322" s="998"/>
      <c r="B322" s="999"/>
      <c r="C322" s="999"/>
      <c r="D322" s="999" t="s">
        <v>808</v>
      </c>
      <c r="E322" s="999"/>
      <c r="F322" s="1000"/>
      <c r="G322" s="989"/>
      <c r="H322" s="993"/>
      <c r="I322" s="1002">
        <f>SUM(I319:I321)</f>
        <v>11582</v>
      </c>
      <c r="J322" s="1002">
        <f>SUM(J319:J321)</f>
        <v>0</v>
      </c>
      <c r="K322" s="1002">
        <f>SUM(K319:K321)</f>
        <v>50000</v>
      </c>
      <c r="L322" s="1002">
        <f>SUM(L319:L321)</f>
        <v>50000</v>
      </c>
      <c r="M322" s="1002">
        <f>SUM(M319:M321)</f>
        <v>20000</v>
      </c>
    </row>
    <row r="323" spans="1:13" ht="18" customHeight="1" x14ac:dyDescent="0.25">
      <c r="A323" s="986"/>
      <c r="B323" s="987"/>
      <c r="C323" s="987"/>
      <c r="D323" s="999"/>
      <c r="E323" s="987"/>
      <c r="F323" s="988"/>
      <c r="G323" s="989"/>
      <c r="H323" s="1031"/>
      <c r="I323" s="994"/>
      <c r="J323" s="995"/>
      <c r="K323" s="995"/>
      <c r="L323" s="995"/>
      <c r="M323" s="995"/>
    </row>
    <row r="324" spans="1:13" ht="18" customHeight="1" x14ac:dyDescent="0.25">
      <c r="A324" s="1006" t="s">
        <v>635</v>
      </c>
      <c r="B324" s="1007"/>
      <c r="C324" s="1007"/>
      <c r="D324" s="1007"/>
      <c r="E324" s="1007"/>
      <c r="F324" s="1008"/>
      <c r="G324" s="1009"/>
      <c r="H324" s="1035"/>
      <c r="I324" s="1011">
        <f>SUM(I322+I317+I309)</f>
        <v>2335062.2800000003</v>
      </c>
      <c r="J324" s="1011">
        <f>SUM(J322+J317+J309)</f>
        <v>1402399.8800000001</v>
      </c>
      <c r="K324" s="1011">
        <f>SUM(K322+K317+K309)</f>
        <v>1396975.2</v>
      </c>
      <c r="L324" s="1011">
        <f>SUM(L322+L317+L309)</f>
        <v>2799375.08</v>
      </c>
      <c r="M324" s="1011">
        <f>SUM(M322+M317+M309)</f>
        <v>2491780</v>
      </c>
    </row>
    <row r="325" spans="1:13" ht="18" customHeight="1" x14ac:dyDescent="0.25">
      <c r="A325" s="973"/>
      <c r="B325" s="1012"/>
      <c r="C325" s="973"/>
      <c r="D325" s="973"/>
      <c r="E325" s="973"/>
      <c r="F325" s="973"/>
      <c r="G325" s="973"/>
      <c r="H325" s="1013"/>
      <c r="I325" s="1013"/>
      <c r="J325" s="1014"/>
      <c r="K325" s="1014"/>
      <c r="L325" s="1014"/>
      <c r="M325" s="1014"/>
    </row>
    <row r="326" spans="1:13" ht="18" customHeight="1" x14ac:dyDescent="0.25">
      <c r="A326" s="973"/>
      <c r="B326" s="1012"/>
      <c r="C326" s="973"/>
      <c r="D326" s="973"/>
      <c r="E326" s="973"/>
      <c r="F326" s="973"/>
      <c r="G326" s="973"/>
      <c r="H326" s="1013"/>
      <c r="I326" s="1013"/>
      <c r="J326" s="1014"/>
      <c r="K326" s="1014"/>
      <c r="L326" s="1014"/>
      <c r="M326" s="1014"/>
    </row>
    <row r="327" spans="1:13" ht="18" customHeight="1" x14ac:dyDescent="0.25">
      <c r="A327" s="973"/>
      <c r="B327" s="1012"/>
      <c r="C327" s="973"/>
      <c r="D327" s="973"/>
      <c r="E327" s="973"/>
      <c r="F327" s="973"/>
      <c r="G327" s="973"/>
      <c r="H327" s="1013"/>
      <c r="I327" s="1013"/>
      <c r="J327" s="1014"/>
      <c r="K327" s="1014"/>
      <c r="L327" s="1014"/>
      <c r="M327" s="1014"/>
    </row>
    <row r="328" spans="1:13" s="956" customFormat="1" ht="18" customHeight="1" x14ac:dyDescent="0.25">
      <c r="A328" s="953" t="s">
        <v>636</v>
      </c>
      <c r="B328" s="953"/>
      <c r="C328" s="954"/>
      <c r="D328" s="954"/>
      <c r="E328" s="954"/>
      <c r="F328" s="954"/>
      <c r="G328" s="954"/>
      <c r="H328" s="1017"/>
      <c r="I328" s="1017" t="s">
        <v>637</v>
      </c>
      <c r="J328" s="1014"/>
      <c r="K328" s="1018"/>
      <c r="L328" s="1018" t="s">
        <v>264</v>
      </c>
      <c r="M328" s="1014"/>
    </row>
    <row r="329" spans="1:13" s="956" customFormat="1" ht="18" customHeight="1" x14ac:dyDescent="0.25">
      <c r="A329" s="954"/>
      <c r="B329" s="953"/>
      <c r="C329" s="954"/>
      <c r="F329" s="953"/>
      <c r="G329" s="1103"/>
      <c r="H329" s="1103"/>
      <c r="I329" s="1099"/>
      <c r="J329" s="1099"/>
      <c r="K329" s="1014"/>
      <c r="L329" s="1019"/>
      <c r="M329" s="1014"/>
    </row>
    <row r="330" spans="1:13" s="956" customFormat="1" ht="18" customHeight="1" x14ac:dyDescent="0.25">
      <c r="A330" s="953"/>
      <c r="B330" s="953"/>
      <c r="C330" s="953"/>
      <c r="D330" s="1020"/>
      <c r="E330" s="1020"/>
      <c r="F330" s="1021" t="s">
        <v>17</v>
      </c>
      <c r="G330" s="1022"/>
      <c r="H330" s="1023"/>
      <c r="I330" s="1100" t="s">
        <v>17</v>
      </c>
      <c r="J330" s="1100"/>
      <c r="K330" s="1023"/>
      <c r="L330" s="1100" t="s">
        <v>1495</v>
      </c>
      <c r="M330" s="1100"/>
    </row>
    <row r="331" spans="1:13" s="956" customFormat="1" ht="18" customHeight="1" x14ac:dyDescent="0.25">
      <c r="A331" s="954"/>
      <c r="B331" s="953"/>
      <c r="C331" s="954"/>
      <c r="D331" s="954"/>
      <c r="E331" s="954"/>
      <c r="F331" s="1013" t="s">
        <v>18</v>
      </c>
      <c r="G331" s="1025"/>
      <c r="H331" s="1025"/>
      <c r="I331" s="1101" t="s">
        <v>18</v>
      </c>
      <c r="J331" s="1101"/>
      <c r="K331" s="1026"/>
      <c r="L331" s="1102" t="s">
        <v>14</v>
      </c>
      <c r="M331" s="1102"/>
    </row>
    <row r="332" spans="1:13" s="956" customFormat="1" ht="18" customHeight="1" x14ac:dyDescent="0.25">
      <c r="A332" s="954"/>
      <c r="B332" s="953"/>
      <c r="C332" s="954"/>
      <c r="D332" s="954"/>
      <c r="E332" s="954"/>
      <c r="F332" s="954"/>
      <c r="G332" s="1025"/>
      <c r="H332" s="1013"/>
      <c r="I332" s="1013"/>
      <c r="K332" s="1027"/>
      <c r="L332" s="1027"/>
      <c r="M332" s="1014"/>
    </row>
    <row r="333" spans="1:13" s="956" customFormat="1" ht="18" customHeight="1" x14ac:dyDescent="0.25">
      <c r="A333" s="954"/>
      <c r="B333" s="953"/>
      <c r="C333" s="954"/>
      <c r="D333" s="954"/>
      <c r="E333" s="954"/>
      <c r="F333" s="954"/>
      <c r="G333" s="1025"/>
      <c r="H333" s="1013"/>
      <c r="I333" s="1013"/>
      <c r="K333" s="1027"/>
      <c r="L333" s="1027"/>
      <c r="M333" s="1014"/>
    </row>
    <row r="334" spans="1:13" s="956" customFormat="1" ht="18" customHeight="1" x14ac:dyDescent="0.25">
      <c r="A334" s="954"/>
      <c r="B334" s="953"/>
      <c r="C334" s="954"/>
      <c r="D334" s="954"/>
      <c r="E334" s="954"/>
      <c r="F334" s="954"/>
      <c r="G334" s="1025"/>
      <c r="H334" s="1013"/>
      <c r="I334" s="1013"/>
      <c r="K334" s="1027"/>
      <c r="L334" s="1027"/>
      <c r="M334" s="1014"/>
    </row>
    <row r="335" spans="1:13" s="956" customFormat="1" ht="18" customHeight="1" x14ac:dyDescent="0.25">
      <c r="A335" s="954"/>
      <c r="B335" s="953"/>
      <c r="C335" s="954"/>
      <c r="D335" s="954"/>
      <c r="E335" s="954"/>
      <c r="F335" s="954"/>
      <c r="G335" s="1025"/>
      <c r="H335" s="1013"/>
      <c r="I335" s="1013"/>
      <c r="K335" s="1027"/>
      <c r="L335" s="1027"/>
      <c r="M335" s="1014"/>
    </row>
    <row r="336" spans="1:13" s="956" customFormat="1" ht="18" customHeight="1" x14ac:dyDescent="0.25">
      <c r="A336" s="954"/>
      <c r="B336" s="953"/>
      <c r="C336" s="954"/>
      <c r="D336" s="954"/>
      <c r="E336" s="954"/>
      <c r="F336" s="954"/>
      <c r="G336" s="1025"/>
      <c r="H336" s="1013"/>
      <c r="I336" s="1013"/>
      <c r="K336" s="1027"/>
      <c r="L336" s="1027"/>
      <c r="M336" s="1014"/>
    </row>
    <row r="337" spans="1:13" s="956" customFormat="1" ht="18" customHeight="1" x14ac:dyDescent="0.25">
      <c r="A337" s="954"/>
      <c r="B337" s="953"/>
      <c r="C337" s="954"/>
      <c r="D337" s="954"/>
      <c r="E337" s="954"/>
      <c r="F337" s="954"/>
      <c r="G337" s="1025"/>
      <c r="H337" s="1013"/>
      <c r="I337" s="1013"/>
      <c r="K337" s="1027"/>
      <c r="L337" s="1027"/>
      <c r="M337" s="1014"/>
    </row>
    <row r="338" spans="1:13" s="956" customFormat="1" ht="18" customHeight="1" x14ac:dyDescent="0.25">
      <c r="A338" s="954"/>
      <c r="B338" s="953"/>
      <c r="C338" s="954"/>
      <c r="D338" s="954"/>
      <c r="E338" s="954"/>
      <c r="F338" s="954"/>
      <c r="G338" s="1025"/>
      <c r="H338" s="1013"/>
      <c r="I338" s="1013"/>
      <c r="K338" s="1027"/>
      <c r="L338" s="1027"/>
      <c r="M338" s="1014"/>
    </row>
    <row r="339" spans="1:13" s="956" customFormat="1" ht="18" customHeight="1" x14ac:dyDescent="0.25">
      <c r="A339" s="954"/>
      <c r="B339" s="953"/>
      <c r="C339" s="954"/>
      <c r="D339" s="954"/>
      <c r="E339" s="954"/>
      <c r="F339" s="954"/>
      <c r="G339" s="1025"/>
      <c r="H339" s="1013"/>
      <c r="I339" s="1013"/>
      <c r="K339" s="1027"/>
      <c r="L339" s="1027"/>
      <c r="M339" s="1014"/>
    </row>
    <row r="340" spans="1:13" s="956" customFormat="1" ht="18" customHeight="1" x14ac:dyDescent="0.25">
      <c r="A340" s="954"/>
      <c r="B340" s="953"/>
      <c r="C340" s="954"/>
      <c r="D340" s="954"/>
      <c r="E340" s="954"/>
      <c r="F340" s="954"/>
      <c r="G340" s="1025"/>
      <c r="H340" s="1013"/>
      <c r="I340" s="1013"/>
      <c r="K340" s="1027"/>
      <c r="L340" s="1027"/>
      <c r="M340" s="1014"/>
    </row>
    <row r="341" spans="1:13" s="956" customFormat="1" ht="18" customHeight="1" x14ac:dyDescent="0.25">
      <c r="A341" s="954"/>
      <c r="B341" s="953"/>
      <c r="C341" s="954"/>
      <c r="D341" s="954"/>
      <c r="E341" s="954"/>
      <c r="F341" s="954"/>
      <c r="G341" s="1025"/>
      <c r="H341" s="1013"/>
      <c r="I341" s="1013"/>
      <c r="K341" s="1027"/>
      <c r="L341" s="1027"/>
      <c r="M341" s="1014"/>
    </row>
    <row r="342" spans="1:13" s="956" customFormat="1" ht="18" customHeight="1" x14ac:dyDescent="0.25">
      <c r="A342" s="954"/>
      <c r="B342" s="953"/>
      <c r="C342" s="954"/>
      <c r="D342" s="954"/>
      <c r="E342" s="954"/>
      <c r="F342" s="954"/>
      <c r="G342" s="1025"/>
      <c r="H342" s="1013"/>
      <c r="I342" s="1013"/>
      <c r="K342" s="1027"/>
      <c r="L342" s="1027"/>
      <c r="M342" s="1014"/>
    </row>
    <row r="343" spans="1:13" s="956" customFormat="1" ht="18" customHeight="1" x14ac:dyDescent="0.25">
      <c r="A343" s="954"/>
      <c r="B343" s="953"/>
      <c r="C343" s="954"/>
      <c r="D343" s="954"/>
      <c r="E343" s="954"/>
      <c r="F343" s="954"/>
      <c r="G343" s="1025"/>
      <c r="H343" s="1013"/>
      <c r="I343" s="1013"/>
      <c r="K343" s="1027"/>
      <c r="L343" s="1027"/>
      <c r="M343" s="1014"/>
    </row>
    <row r="344" spans="1:13" s="956" customFormat="1" ht="18" customHeight="1" x14ac:dyDescent="0.25">
      <c r="A344" s="954"/>
      <c r="B344" s="953"/>
      <c r="C344" s="954"/>
      <c r="D344" s="954"/>
      <c r="E344" s="954"/>
      <c r="F344" s="954"/>
      <c r="G344" s="1025"/>
      <c r="H344" s="1013"/>
      <c r="I344" s="1013"/>
      <c r="K344" s="1027"/>
      <c r="L344" s="1027"/>
      <c r="M344" s="1014"/>
    </row>
    <row r="345" spans="1:13" s="1041" customFormat="1" ht="20.100000000000001" customHeight="1" x14ac:dyDescent="0.35">
      <c r="A345" s="1095" t="s">
        <v>1722</v>
      </c>
      <c r="B345" s="1095"/>
      <c r="C345" s="1095"/>
      <c r="D345" s="1095"/>
      <c r="E345" s="1095"/>
      <c r="F345" s="1095"/>
      <c r="G345" s="1095"/>
      <c r="H345" s="1095"/>
      <c r="I345" s="1095"/>
      <c r="J345" s="1095"/>
      <c r="K345" s="1095"/>
      <c r="L345" s="1095"/>
      <c r="M345" s="1095"/>
    </row>
    <row r="346" spans="1:13" s="956" customFormat="1" ht="18" customHeight="1" x14ac:dyDescent="0.25">
      <c r="A346" s="953"/>
      <c r="B346" s="954"/>
      <c r="C346" s="954"/>
      <c r="D346" s="954"/>
      <c r="E346" s="954"/>
      <c r="F346" s="954"/>
      <c r="G346" s="954"/>
      <c r="H346" s="954"/>
      <c r="I346" s="954"/>
      <c r="J346" s="954"/>
      <c r="K346" s="954"/>
      <c r="L346" s="954"/>
      <c r="M346" s="955"/>
    </row>
    <row r="347" spans="1:13" s="956" customFormat="1" ht="18" customHeight="1" x14ac:dyDescent="0.25">
      <c r="A347" s="1087" t="s">
        <v>21</v>
      </c>
      <c r="B347" s="1087"/>
      <c r="C347" s="1087"/>
      <c r="D347" s="1087"/>
      <c r="E347" s="1087"/>
      <c r="F347" s="1087"/>
      <c r="G347" s="1087"/>
      <c r="H347" s="1087"/>
      <c r="I347" s="1087"/>
      <c r="J347" s="1087"/>
      <c r="K347" s="1087"/>
      <c r="L347" s="1087"/>
      <c r="M347" s="1087"/>
    </row>
    <row r="348" spans="1:13" s="956" customFormat="1" ht="18" customHeight="1" x14ac:dyDescent="0.25">
      <c r="A348" s="1087" t="s">
        <v>364</v>
      </c>
      <c r="B348" s="1087"/>
      <c r="C348" s="1087"/>
      <c r="D348" s="1087"/>
      <c r="E348" s="1087"/>
      <c r="F348" s="1087"/>
      <c r="G348" s="1087"/>
      <c r="H348" s="1087"/>
      <c r="I348" s="1087"/>
      <c r="J348" s="1087"/>
      <c r="K348" s="1087"/>
      <c r="L348" s="1087"/>
      <c r="M348" s="1087"/>
    </row>
    <row r="349" spans="1:13" s="956" customFormat="1" ht="18" customHeight="1" x14ac:dyDescent="0.25">
      <c r="A349" s="957"/>
      <c r="B349" s="957"/>
      <c r="C349" s="957"/>
      <c r="D349" s="957"/>
      <c r="E349" s="957"/>
      <c r="F349" s="957"/>
      <c r="G349" s="957"/>
      <c r="H349" s="957"/>
      <c r="I349" s="957"/>
      <c r="J349" s="957"/>
      <c r="K349" s="957"/>
      <c r="L349" s="957"/>
      <c r="M349" s="957"/>
    </row>
    <row r="350" spans="1:13" s="956" customFormat="1" ht="18" customHeight="1" x14ac:dyDescent="0.25">
      <c r="A350" s="958" t="s">
        <v>1728</v>
      </c>
      <c r="B350" s="957"/>
      <c r="C350" s="959"/>
      <c r="D350" s="957"/>
      <c r="E350" s="957"/>
      <c r="F350" s="957"/>
      <c r="G350" s="957"/>
      <c r="H350" s="957"/>
      <c r="I350" s="957"/>
      <c r="J350" s="957"/>
      <c r="K350" s="957"/>
      <c r="L350" s="957"/>
      <c r="M350" s="957"/>
    </row>
    <row r="351" spans="1:13" s="956" customFormat="1" ht="18" customHeight="1" thickBot="1" x14ac:dyDescent="0.3">
      <c r="A351" s="1087"/>
      <c r="B351" s="1087"/>
      <c r="C351" s="1087"/>
      <c r="D351" s="1087"/>
      <c r="E351" s="1087"/>
      <c r="F351" s="1087"/>
      <c r="G351" s="1087"/>
      <c r="H351" s="1087"/>
      <c r="I351" s="1087"/>
      <c r="J351" s="1087"/>
      <c r="K351" s="1087"/>
      <c r="L351" s="1087"/>
      <c r="M351" s="1087"/>
    </row>
    <row r="352" spans="1:13" ht="18" customHeight="1" x14ac:dyDescent="0.2">
      <c r="A352" s="961"/>
      <c r="B352" s="962"/>
      <c r="C352" s="962"/>
      <c r="D352" s="962"/>
      <c r="E352" s="962"/>
      <c r="F352" s="963"/>
      <c r="G352" s="964"/>
      <c r="H352" s="965"/>
      <c r="I352" s="965"/>
      <c r="J352" s="1089" t="s">
        <v>633</v>
      </c>
      <c r="K352" s="1090"/>
      <c r="L352" s="1091"/>
      <c r="M352" s="966"/>
    </row>
    <row r="353" spans="1:13" ht="18" customHeight="1" x14ac:dyDescent="0.2">
      <c r="A353" s="1092"/>
      <c r="B353" s="1093"/>
      <c r="C353" s="1093"/>
      <c r="D353" s="1093"/>
      <c r="E353" s="1093"/>
      <c r="F353" s="1094"/>
      <c r="G353" s="967"/>
      <c r="H353" s="968"/>
      <c r="I353" s="968" t="s">
        <v>6</v>
      </c>
      <c r="J353" s="968" t="s">
        <v>580</v>
      </c>
      <c r="K353" s="968" t="s">
        <v>581</v>
      </c>
      <c r="L353" s="968"/>
      <c r="M353" s="969" t="s">
        <v>7</v>
      </c>
    </row>
    <row r="354" spans="1:13" ht="18" customHeight="1" x14ac:dyDescent="0.25">
      <c r="A354" s="1092" t="s">
        <v>22</v>
      </c>
      <c r="B354" s="1093"/>
      <c r="C354" s="1093"/>
      <c r="D354" s="1093"/>
      <c r="E354" s="1093"/>
      <c r="F354" s="1094"/>
      <c r="G354" s="970"/>
      <c r="H354" s="971" t="s">
        <v>634</v>
      </c>
      <c r="I354" s="968" t="s">
        <v>579</v>
      </c>
      <c r="J354" s="968" t="s">
        <v>579</v>
      </c>
      <c r="K354" s="968" t="s">
        <v>582</v>
      </c>
      <c r="L354" s="968" t="s">
        <v>15</v>
      </c>
      <c r="M354" s="969" t="s">
        <v>584</v>
      </c>
    </row>
    <row r="355" spans="1:13" ht="18" customHeight="1" x14ac:dyDescent="0.2">
      <c r="A355" s="972"/>
      <c r="B355" s="973"/>
      <c r="C355" s="973"/>
      <c r="D355" s="973"/>
      <c r="E355" s="973"/>
      <c r="F355" s="974"/>
      <c r="G355" s="970"/>
      <c r="H355" s="968"/>
      <c r="I355" s="968">
        <v>2019</v>
      </c>
      <c r="J355" s="968">
        <v>2020</v>
      </c>
      <c r="K355" s="968">
        <v>2020</v>
      </c>
      <c r="L355" s="968">
        <v>2020</v>
      </c>
      <c r="M355" s="969">
        <v>2021</v>
      </c>
    </row>
    <row r="356" spans="1:13" ht="18" customHeight="1" thickBot="1" x14ac:dyDescent="0.25">
      <c r="A356" s="1096"/>
      <c r="B356" s="1097"/>
      <c r="C356" s="1097"/>
      <c r="D356" s="1097"/>
      <c r="E356" s="1097"/>
      <c r="F356" s="1098"/>
      <c r="G356" s="975"/>
      <c r="H356" s="976"/>
      <c r="I356" s="976"/>
      <c r="J356" s="976"/>
      <c r="K356" s="976"/>
      <c r="L356" s="976"/>
      <c r="M356" s="977"/>
    </row>
    <row r="357" spans="1:13" ht="18" customHeight="1" x14ac:dyDescent="0.25">
      <c r="A357" s="978"/>
      <c r="B357" s="979" t="s">
        <v>372</v>
      </c>
      <c r="C357" s="980"/>
      <c r="D357" s="979"/>
      <c r="E357" s="979"/>
      <c r="F357" s="981"/>
      <c r="G357" s="982"/>
      <c r="H357" s="1028"/>
      <c r="I357" s="1029"/>
      <c r="J357" s="1030"/>
      <c r="K357" s="1030"/>
      <c r="L357" s="1030"/>
      <c r="M357" s="1030"/>
    </row>
    <row r="358" spans="1:13" ht="18" customHeight="1" x14ac:dyDescent="0.25">
      <c r="A358" s="986"/>
      <c r="B358" s="987"/>
      <c r="C358" s="987" t="s">
        <v>532</v>
      </c>
      <c r="D358" s="987"/>
      <c r="E358" s="987"/>
      <c r="F358" s="988"/>
      <c r="G358" s="989"/>
      <c r="H358" s="1031"/>
      <c r="I358" s="1032"/>
      <c r="J358" s="1033"/>
      <c r="K358" s="1033"/>
      <c r="L358" s="1033"/>
      <c r="M358" s="1033"/>
    </row>
    <row r="359" spans="1:13" ht="18" customHeight="1" x14ac:dyDescent="0.25">
      <c r="A359" s="986"/>
      <c r="B359" s="987"/>
      <c r="C359" s="987"/>
      <c r="D359" s="987" t="s">
        <v>533</v>
      </c>
      <c r="E359" s="987"/>
      <c r="F359" s="988"/>
      <c r="G359" s="989" t="s">
        <v>603</v>
      </c>
      <c r="H359" s="993" t="s">
        <v>698</v>
      </c>
      <c r="I359" s="994">
        <v>1347012</v>
      </c>
      <c r="J359" s="995">
        <v>628571.91</v>
      </c>
      <c r="K359" s="995">
        <f>1636635-J359</f>
        <v>1008063.09</v>
      </c>
      <c r="L359" s="995">
        <f>SUM(K359+J359)</f>
        <v>1636635</v>
      </c>
      <c r="M359" s="995">
        <v>1697339</v>
      </c>
    </row>
    <row r="360" spans="1:13" ht="18" customHeight="1" x14ac:dyDescent="0.25">
      <c r="A360" s="986"/>
      <c r="B360" s="987"/>
      <c r="C360" s="987" t="s">
        <v>534</v>
      </c>
      <c r="D360" s="987"/>
      <c r="E360" s="987"/>
      <c r="F360" s="988"/>
      <c r="G360" s="989"/>
      <c r="H360" s="1031"/>
      <c r="I360" s="994"/>
      <c r="J360" s="995"/>
      <c r="K360" s="995"/>
      <c r="L360" s="995"/>
      <c r="M360" s="995"/>
    </row>
    <row r="361" spans="1:13" ht="18" customHeight="1" x14ac:dyDescent="0.25">
      <c r="A361" s="986"/>
      <c r="B361" s="987"/>
      <c r="C361" s="987"/>
      <c r="D361" s="987" t="s">
        <v>535</v>
      </c>
      <c r="E361" s="987"/>
      <c r="F361" s="988"/>
      <c r="G361" s="989" t="s">
        <v>604</v>
      </c>
      <c r="H361" s="993" t="s">
        <v>699</v>
      </c>
      <c r="I361" s="994">
        <v>96000</v>
      </c>
      <c r="J361" s="995">
        <v>38000</v>
      </c>
      <c r="K361" s="995">
        <f>120000-J361</f>
        <v>82000</v>
      </c>
      <c r="L361" s="995">
        <f t="shared" ref="L361:L376" si="11">SUM(K361+J361)</f>
        <v>120000</v>
      </c>
      <c r="M361" s="995">
        <v>120000</v>
      </c>
    </row>
    <row r="362" spans="1:13" ht="18" customHeight="1" x14ac:dyDescent="0.25">
      <c r="A362" s="986"/>
      <c r="B362" s="987"/>
      <c r="C362" s="987"/>
      <c r="D362" s="987" t="s">
        <v>546</v>
      </c>
      <c r="E362" s="987"/>
      <c r="F362" s="988"/>
      <c r="G362" s="989" t="s">
        <v>605</v>
      </c>
      <c r="H362" s="993" t="s">
        <v>700</v>
      </c>
      <c r="I362" s="994">
        <v>76500</v>
      </c>
      <c r="J362" s="995">
        <v>38250</v>
      </c>
      <c r="K362" s="995">
        <f>76500-J362</f>
        <v>38250</v>
      </c>
      <c r="L362" s="995">
        <f t="shared" si="11"/>
        <v>76500</v>
      </c>
      <c r="M362" s="995">
        <v>76500</v>
      </c>
    </row>
    <row r="363" spans="1:13" ht="18" customHeight="1" x14ac:dyDescent="0.25">
      <c r="A363" s="986"/>
      <c r="B363" s="987"/>
      <c r="C363" s="987"/>
      <c r="D363" s="987" t="s">
        <v>545</v>
      </c>
      <c r="E363" s="987"/>
      <c r="F363" s="988"/>
      <c r="G363" s="989" t="s">
        <v>606</v>
      </c>
      <c r="H363" s="993" t="s">
        <v>701</v>
      </c>
      <c r="I363" s="994">
        <v>76500</v>
      </c>
      <c r="J363" s="995">
        <v>38250</v>
      </c>
      <c r="K363" s="995">
        <f>76500-J363</f>
        <v>38250</v>
      </c>
      <c r="L363" s="995">
        <f t="shared" si="11"/>
        <v>76500</v>
      </c>
      <c r="M363" s="995">
        <v>76500</v>
      </c>
    </row>
    <row r="364" spans="1:13" ht="18" customHeight="1" x14ac:dyDescent="0.25">
      <c r="A364" s="986"/>
      <c r="B364" s="987"/>
      <c r="C364" s="987"/>
      <c r="D364" s="987" t="s">
        <v>547</v>
      </c>
      <c r="E364" s="987"/>
      <c r="F364" s="988"/>
      <c r="G364" s="989" t="s">
        <v>607</v>
      </c>
      <c r="H364" s="993" t="s">
        <v>702</v>
      </c>
      <c r="I364" s="994">
        <v>24000</v>
      </c>
      <c r="J364" s="995">
        <v>24000</v>
      </c>
      <c r="K364" s="995">
        <f>30000-J364</f>
        <v>6000</v>
      </c>
      <c r="L364" s="995">
        <f t="shared" si="11"/>
        <v>30000</v>
      </c>
      <c r="M364" s="995">
        <v>30000</v>
      </c>
    </row>
    <row r="365" spans="1:13" ht="18" customHeight="1" x14ac:dyDescent="0.25">
      <c r="A365" s="986"/>
      <c r="B365" s="987"/>
      <c r="C365" s="987"/>
      <c r="D365" s="987" t="s">
        <v>696</v>
      </c>
      <c r="E365" s="987"/>
      <c r="F365" s="988"/>
      <c r="G365" s="989" t="s">
        <v>609</v>
      </c>
      <c r="H365" s="993" t="s">
        <v>703</v>
      </c>
      <c r="I365" s="994">
        <v>20000</v>
      </c>
      <c r="J365" s="995">
        <v>0</v>
      </c>
      <c r="K365" s="995">
        <f>25000-J365</f>
        <v>25000</v>
      </c>
      <c r="L365" s="995">
        <f t="shared" si="11"/>
        <v>25000</v>
      </c>
      <c r="M365" s="995">
        <v>25000</v>
      </c>
    </row>
    <row r="366" spans="1:13" ht="18" customHeight="1" x14ac:dyDescent="0.25">
      <c r="A366" s="986"/>
      <c r="B366" s="987"/>
      <c r="C366" s="987"/>
      <c r="D366" s="987" t="s">
        <v>1562</v>
      </c>
      <c r="E366" s="987"/>
      <c r="F366" s="988"/>
      <c r="G366" s="989"/>
      <c r="H366" s="993" t="s">
        <v>704</v>
      </c>
      <c r="I366" s="994">
        <v>38683.129999999997</v>
      </c>
      <c r="J366" s="995">
        <v>70687.5</v>
      </c>
      <c r="K366" s="995">
        <f>70687.5-J366</f>
        <v>0</v>
      </c>
      <c r="L366" s="995">
        <f t="shared" si="11"/>
        <v>70687.5</v>
      </c>
      <c r="M366" s="995">
        <v>0</v>
      </c>
    </row>
    <row r="367" spans="1:13" ht="18" customHeight="1" x14ac:dyDescent="0.25">
      <c r="A367" s="986"/>
      <c r="B367" s="987"/>
      <c r="C367" s="987"/>
      <c r="D367" s="987" t="s">
        <v>373</v>
      </c>
      <c r="E367" s="987"/>
      <c r="F367" s="988"/>
      <c r="G367" s="989" t="s">
        <v>611</v>
      </c>
      <c r="H367" s="993" t="s">
        <v>721</v>
      </c>
      <c r="I367" s="994">
        <v>1001</v>
      </c>
      <c r="J367" s="995">
        <v>5948.39</v>
      </c>
      <c r="K367" s="995">
        <f>20000-J367</f>
        <v>14051.61</v>
      </c>
      <c r="L367" s="995">
        <f t="shared" si="11"/>
        <v>20000</v>
      </c>
      <c r="M367" s="995">
        <v>35000</v>
      </c>
    </row>
    <row r="368" spans="1:13" ht="18" customHeight="1" x14ac:dyDescent="0.25">
      <c r="A368" s="986"/>
      <c r="B368" s="987"/>
      <c r="C368" s="987"/>
      <c r="D368" s="987" t="s">
        <v>552</v>
      </c>
      <c r="E368" s="987"/>
      <c r="F368" s="988"/>
      <c r="G368" s="989" t="s">
        <v>612</v>
      </c>
      <c r="H368" s="993" t="s">
        <v>705</v>
      </c>
      <c r="I368" s="994">
        <v>20000</v>
      </c>
      <c r="J368" s="995">
        <v>0</v>
      </c>
      <c r="K368" s="995">
        <f>25000-J368</f>
        <v>25000</v>
      </c>
      <c r="L368" s="995">
        <f t="shared" si="11"/>
        <v>25000</v>
      </c>
      <c r="M368" s="995">
        <v>25000</v>
      </c>
    </row>
    <row r="369" spans="1:13" ht="18" customHeight="1" x14ac:dyDescent="0.25">
      <c r="A369" s="986"/>
      <c r="B369" s="987"/>
      <c r="C369" s="987"/>
      <c r="D369" s="987" t="s">
        <v>816</v>
      </c>
      <c r="E369" s="987"/>
      <c r="F369" s="987"/>
      <c r="G369" s="997" t="s">
        <v>440</v>
      </c>
      <c r="H369" s="993" t="s">
        <v>704</v>
      </c>
      <c r="I369" s="994">
        <v>112251</v>
      </c>
      <c r="J369" s="995">
        <v>102276</v>
      </c>
      <c r="K369" s="995">
        <f>136292-J369</f>
        <v>34016</v>
      </c>
      <c r="L369" s="995">
        <f t="shared" si="11"/>
        <v>136292</v>
      </c>
      <c r="M369" s="995">
        <v>140927</v>
      </c>
    </row>
    <row r="370" spans="1:13" ht="18" customHeight="1" x14ac:dyDescent="0.25">
      <c r="A370" s="986"/>
      <c r="B370" s="987"/>
      <c r="C370" s="987"/>
      <c r="D370" s="987" t="s">
        <v>553</v>
      </c>
      <c r="E370" s="987"/>
      <c r="F370" s="988"/>
      <c r="G370" s="989" t="s">
        <v>613</v>
      </c>
      <c r="H370" s="993" t="s">
        <v>706</v>
      </c>
      <c r="I370" s="994">
        <v>112251</v>
      </c>
      <c r="J370" s="995">
        <v>0</v>
      </c>
      <c r="K370" s="995">
        <f>136669-J370</f>
        <v>136669</v>
      </c>
      <c r="L370" s="995">
        <f t="shared" si="11"/>
        <v>136669</v>
      </c>
      <c r="M370" s="995">
        <v>142170</v>
      </c>
    </row>
    <row r="371" spans="1:13" ht="18" customHeight="1" x14ac:dyDescent="0.25">
      <c r="A371" s="986"/>
      <c r="B371" s="987"/>
      <c r="C371" s="987"/>
      <c r="D371" s="987" t="s">
        <v>669</v>
      </c>
      <c r="E371" s="987"/>
      <c r="F371" s="988"/>
      <c r="G371" s="989" t="s">
        <v>614</v>
      </c>
      <c r="H371" s="993" t="s">
        <v>707</v>
      </c>
      <c r="I371" s="994">
        <f>145689.84+15951.48</f>
        <v>161641.32</v>
      </c>
      <c r="J371" s="995">
        <v>62807.4</v>
      </c>
      <c r="K371" s="995">
        <f>196700-J371</f>
        <v>133892.6</v>
      </c>
      <c r="L371" s="995">
        <f t="shared" si="11"/>
        <v>196700</v>
      </c>
      <c r="M371" s="995">
        <v>204000</v>
      </c>
    </row>
    <row r="372" spans="1:13" ht="18" customHeight="1" x14ac:dyDescent="0.25">
      <c r="A372" s="986"/>
      <c r="B372" s="987"/>
      <c r="C372" s="987"/>
      <c r="D372" s="987" t="s">
        <v>554</v>
      </c>
      <c r="E372" s="987"/>
      <c r="F372" s="988"/>
      <c r="G372" s="989" t="s">
        <v>615</v>
      </c>
      <c r="H372" s="993" t="s">
        <v>708</v>
      </c>
      <c r="I372" s="994">
        <v>4800</v>
      </c>
      <c r="J372" s="995">
        <v>1600</v>
      </c>
      <c r="K372" s="995">
        <f>6000-J372</f>
        <v>4400</v>
      </c>
      <c r="L372" s="995">
        <f t="shared" si="11"/>
        <v>6000</v>
      </c>
      <c r="M372" s="995">
        <v>9000</v>
      </c>
    </row>
    <row r="373" spans="1:13" ht="18" customHeight="1" x14ac:dyDescent="0.25">
      <c r="A373" s="986"/>
      <c r="B373" s="987"/>
      <c r="C373" s="987"/>
      <c r="D373" s="987" t="s">
        <v>555</v>
      </c>
      <c r="E373" s="987"/>
      <c r="F373" s="988"/>
      <c r="G373" s="989" t="s">
        <v>616</v>
      </c>
      <c r="H373" s="993" t="s">
        <v>709</v>
      </c>
      <c r="I373" s="994">
        <v>12980</v>
      </c>
      <c r="J373" s="995">
        <v>6630</v>
      </c>
      <c r="K373" s="995">
        <f>24700-J373</f>
        <v>18070</v>
      </c>
      <c r="L373" s="995">
        <f t="shared" si="11"/>
        <v>24700</v>
      </c>
      <c r="M373" s="995">
        <v>30000</v>
      </c>
    </row>
    <row r="374" spans="1:13" ht="18" customHeight="1" x14ac:dyDescent="0.25">
      <c r="A374" s="986"/>
      <c r="B374" s="987"/>
      <c r="C374" s="987"/>
      <c r="D374" s="987" t="s">
        <v>665</v>
      </c>
      <c r="E374" s="987"/>
      <c r="F374" s="988"/>
      <c r="G374" s="989" t="s">
        <v>617</v>
      </c>
      <c r="H374" s="993" t="s">
        <v>710</v>
      </c>
      <c r="I374" s="994">
        <f>4400+400</f>
        <v>4800</v>
      </c>
      <c r="J374" s="995">
        <v>1700</v>
      </c>
      <c r="K374" s="995">
        <f>6000-J374</f>
        <v>4300</v>
      </c>
      <c r="L374" s="995">
        <f t="shared" si="11"/>
        <v>6000</v>
      </c>
      <c r="M374" s="995">
        <v>6000</v>
      </c>
    </row>
    <row r="375" spans="1:13" ht="18" customHeight="1" x14ac:dyDescent="0.25">
      <c r="A375" s="986"/>
      <c r="B375" s="987"/>
      <c r="C375" s="987"/>
      <c r="D375" s="987" t="s">
        <v>557</v>
      </c>
      <c r="E375" s="987"/>
      <c r="F375" s="988"/>
      <c r="G375" s="989" t="s">
        <v>403</v>
      </c>
      <c r="H375" s="993" t="s">
        <v>722</v>
      </c>
      <c r="I375" s="994">
        <v>0</v>
      </c>
      <c r="J375" s="995">
        <v>165705.74</v>
      </c>
      <c r="K375" s="995">
        <f>165705.74-J375</f>
        <v>0</v>
      </c>
      <c r="L375" s="995">
        <f t="shared" si="11"/>
        <v>165705.74</v>
      </c>
      <c r="M375" s="995">
        <v>0</v>
      </c>
    </row>
    <row r="376" spans="1:13" ht="18" customHeight="1" x14ac:dyDescent="0.25">
      <c r="A376" s="986"/>
      <c r="B376" s="987"/>
      <c r="C376" s="987"/>
      <c r="D376" s="987" t="s">
        <v>1563</v>
      </c>
      <c r="E376" s="987"/>
      <c r="F376" s="988"/>
      <c r="G376" s="989"/>
      <c r="H376" s="993" t="s">
        <v>722</v>
      </c>
      <c r="I376" s="994">
        <v>40000</v>
      </c>
      <c r="J376" s="995">
        <v>0</v>
      </c>
      <c r="K376" s="995">
        <f>0-J376</f>
        <v>0</v>
      </c>
      <c r="L376" s="995">
        <f t="shared" si="11"/>
        <v>0</v>
      </c>
      <c r="M376" s="995">
        <v>0</v>
      </c>
    </row>
    <row r="377" spans="1:13" s="1003" customFormat="1" ht="18" customHeight="1" x14ac:dyDescent="0.25">
      <c r="A377" s="998"/>
      <c r="B377" s="999"/>
      <c r="C377" s="999"/>
      <c r="D377" s="999" t="s">
        <v>377</v>
      </c>
      <c r="E377" s="999"/>
      <c r="F377" s="1000"/>
      <c r="G377" s="1001"/>
      <c r="H377" s="1034"/>
      <c r="I377" s="1002">
        <f>SUM(I359:I376)</f>
        <v>2148419.4500000002</v>
      </c>
      <c r="J377" s="1002">
        <f>SUM(J359:J376)</f>
        <v>1184426.94</v>
      </c>
      <c r="K377" s="1002">
        <f>SUM(K359:K376)</f>
        <v>1567962.3</v>
      </c>
      <c r="L377" s="1002">
        <f>SUM(L359:L376)</f>
        <v>2752389.24</v>
      </c>
      <c r="M377" s="1002">
        <f>SUM(M359:M376)</f>
        <v>2617436</v>
      </c>
    </row>
    <row r="378" spans="1:13" ht="18" customHeight="1" x14ac:dyDescent="0.25">
      <c r="A378" s="986"/>
      <c r="B378" s="987" t="s">
        <v>558</v>
      </c>
      <c r="C378" s="987"/>
      <c r="D378" s="987"/>
      <c r="E378" s="987"/>
      <c r="F378" s="988"/>
      <c r="G378" s="989"/>
      <c r="H378" s="1031"/>
      <c r="I378" s="994"/>
      <c r="J378" s="995"/>
      <c r="K378" s="995"/>
      <c r="L378" s="995"/>
      <c r="M378" s="995"/>
    </row>
    <row r="379" spans="1:13" ht="18" customHeight="1" x14ac:dyDescent="0.25">
      <c r="A379" s="986"/>
      <c r="B379" s="987"/>
      <c r="C379" s="987"/>
      <c r="D379" s="987" t="s">
        <v>559</v>
      </c>
      <c r="E379" s="987"/>
      <c r="F379" s="988"/>
      <c r="G379" s="989" t="s">
        <v>390</v>
      </c>
      <c r="H379" s="993" t="s">
        <v>712</v>
      </c>
      <c r="I379" s="994">
        <v>82259.649999999994</v>
      </c>
      <c r="J379" s="995">
        <v>0</v>
      </c>
      <c r="K379" s="995">
        <f>100000-J379</f>
        <v>100000</v>
      </c>
      <c r="L379" s="995">
        <f t="shared" ref="L379:L384" si="12">SUM(K379+J379)</f>
        <v>100000</v>
      </c>
      <c r="M379" s="995">
        <f>120000-12000</f>
        <v>108000</v>
      </c>
    </row>
    <row r="380" spans="1:13" ht="18" customHeight="1" x14ac:dyDescent="0.25">
      <c r="A380" s="986"/>
      <c r="B380" s="987"/>
      <c r="C380" s="987"/>
      <c r="D380" s="987" t="s">
        <v>436</v>
      </c>
      <c r="E380" s="987"/>
      <c r="F380" s="988"/>
      <c r="G380" s="989" t="s">
        <v>391</v>
      </c>
      <c r="H380" s="993" t="s">
        <v>713</v>
      </c>
      <c r="I380" s="994">
        <v>76180</v>
      </c>
      <c r="J380" s="995">
        <v>0</v>
      </c>
      <c r="K380" s="995">
        <f>120000-J380</f>
        <v>120000</v>
      </c>
      <c r="L380" s="995">
        <f t="shared" si="12"/>
        <v>120000</v>
      </c>
      <c r="M380" s="995">
        <v>120000</v>
      </c>
    </row>
    <row r="381" spans="1:13" ht="18" customHeight="1" x14ac:dyDescent="0.25">
      <c r="A381" s="986"/>
      <c r="B381" s="987"/>
      <c r="C381" s="987"/>
      <c r="D381" s="987" t="s">
        <v>384</v>
      </c>
      <c r="E381" s="987"/>
      <c r="F381" s="988"/>
      <c r="G381" s="989" t="s">
        <v>393</v>
      </c>
      <c r="H381" s="993" t="s">
        <v>714</v>
      </c>
      <c r="I381" s="994">
        <v>128829</v>
      </c>
      <c r="J381" s="995">
        <v>49322</v>
      </c>
      <c r="K381" s="995">
        <f>150000-J381</f>
        <v>100678</v>
      </c>
      <c r="L381" s="995">
        <f t="shared" si="12"/>
        <v>150000</v>
      </c>
      <c r="M381" s="995">
        <v>194245</v>
      </c>
    </row>
    <row r="382" spans="1:13" ht="18" customHeight="1" x14ac:dyDescent="0.25">
      <c r="A382" s="986"/>
      <c r="B382" s="987"/>
      <c r="C382" s="987"/>
      <c r="D382" s="987" t="s">
        <v>565</v>
      </c>
      <c r="E382" s="987"/>
      <c r="F382" s="988"/>
      <c r="G382" s="989" t="s">
        <v>394</v>
      </c>
      <c r="H382" s="993" t="s">
        <v>716</v>
      </c>
      <c r="I382" s="994">
        <v>24000</v>
      </c>
      <c r="J382" s="995">
        <v>12000</v>
      </c>
      <c r="K382" s="995">
        <f>24000-J382</f>
        <v>12000</v>
      </c>
      <c r="L382" s="995">
        <f t="shared" si="12"/>
        <v>24000</v>
      </c>
      <c r="M382" s="995">
        <f>30000+12000</f>
        <v>42000</v>
      </c>
    </row>
    <row r="383" spans="1:13" ht="18" customHeight="1" x14ac:dyDescent="0.25">
      <c r="A383" s="986"/>
      <c r="B383" s="987"/>
      <c r="C383" s="987"/>
      <c r="D383" s="987" t="s">
        <v>945</v>
      </c>
      <c r="E383" s="987"/>
      <c r="F383" s="988"/>
      <c r="G383" s="989" t="s">
        <v>395</v>
      </c>
      <c r="H383" s="993" t="s">
        <v>717</v>
      </c>
      <c r="I383" s="994">
        <v>16800</v>
      </c>
      <c r="J383" s="995">
        <v>17450</v>
      </c>
      <c r="K383" s="995">
        <f>35000-J383</f>
        <v>17550</v>
      </c>
      <c r="L383" s="995">
        <f t="shared" si="12"/>
        <v>35000</v>
      </c>
      <c r="M383" s="995">
        <v>35000</v>
      </c>
    </row>
    <row r="384" spans="1:13" ht="18" customHeight="1" x14ac:dyDescent="0.25">
      <c r="A384" s="986"/>
      <c r="B384" s="987"/>
      <c r="C384" s="987"/>
      <c r="D384" s="987" t="s">
        <v>572</v>
      </c>
      <c r="E384" s="987"/>
      <c r="F384" s="988"/>
      <c r="G384" s="989" t="s">
        <v>396</v>
      </c>
      <c r="H384" s="993" t="s">
        <v>718</v>
      </c>
      <c r="I384" s="994">
        <v>100000</v>
      </c>
      <c r="J384" s="995">
        <v>0</v>
      </c>
      <c r="K384" s="995">
        <f>0-J384</f>
        <v>0</v>
      </c>
      <c r="L384" s="995">
        <f t="shared" si="12"/>
        <v>0</v>
      </c>
      <c r="M384" s="995">
        <v>0</v>
      </c>
    </row>
    <row r="385" spans="1:13" s="1003" customFormat="1" ht="18" customHeight="1" x14ac:dyDescent="0.25">
      <c r="A385" s="998"/>
      <c r="B385" s="999"/>
      <c r="C385" s="999"/>
      <c r="D385" s="999" t="s">
        <v>763</v>
      </c>
      <c r="E385" s="999"/>
      <c r="F385" s="1000"/>
      <c r="G385" s="1001"/>
      <c r="H385" s="1034"/>
      <c r="I385" s="1002">
        <f>SUM(I379:I384)</f>
        <v>428068.65</v>
      </c>
      <c r="J385" s="1002">
        <f>SUM(J379:J384)</f>
        <v>78772</v>
      </c>
      <c r="K385" s="1002">
        <f>SUM(K379:K384)</f>
        <v>350228</v>
      </c>
      <c r="L385" s="1002">
        <f>SUM(L379:L384)</f>
        <v>429000</v>
      </c>
      <c r="M385" s="1002">
        <f>SUM(M379:M384)</f>
        <v>499245</v>
      </c>
    </row>
    <row r="386" spans="1:13" ht="18" customHeight="1" x14ac:dyDescent="0.25">
      <c r="A386" s="986"/>
      <c r="B386" s="987" t="s">
        <v>573</v>
      </c>
      <c r="C386" s="987"/>
      <c r="D386" s="987"/>
      <c r="E386" s="987"/>
      <c r="F386" s="988"/>
      <c r="G386" s="989"/>
      <c r="H386" s="1031"/>
      <c r="I386" s="994"/>
      <c r="J386" s="995"/>
      <c r="K386" s="995"/>
      <c r="L386" s="995"/>
      <c r="M386" s="995"/>
    </row>
    <row r="387" spans="1:13" ht="18" customHeight="1" x14ac:dyDescent="0.25">
      <c r="A387" s="986"/>
      <c r="B387" s="987"/>
      <c r="C387" s="987"/>
      <c r="D387" s="987" t="s">
        <v>697</v>
      </c>
      <c r="E387" s="987"/>
      <c r="F387" s="988"/>
      <c r="G387" s="989" t="s">
        <v>859</v>
      </c>
      <c r="H387" s="993" t="s">
        <v>860</v>
      </c>
      <c r="I387" s="994">
        <v>0</v>
      </c>
      <c r="J387" s="995">
        <v>30846</v>
      </c>
      <c r="K387" s="995">
        <f>80000-J387</f>
        <v>49154</v>
      </c>
      <c r="L387" s="995">
        <f>SUM(K387+J387)</f>
        <v>80000</v>
      </c>
      <c r="M387" s="995">
        <v>11500</v>
      </c>
    </row>
    <row r="388" spans="1:13" ht="18" customHeight="1" x14ac:dyDescent="0.25">
      <c r="A388" s="986"/>
      <c r="B388" s="987"/>
      <c r="C388" s="987"/>
      <c r="D388" s="987" t="s">
        <v>858</v>
      </c>
      <c r="E388" s="987"/>
      <c r="F388" s="988"/>
      <c r="G388" s="989" t="s">
        <v>861</v>
      </c>
      <c r="H388" s="993" t="s">
        <v>1640</v>
      </c>
      <c r="I388" s="994">
        <v>130700</v>
      </c>
      <c r="J388" s="995">
        <v>0</v>
      </c>
      <c r="K388" s="995">
        <f>69000-J388</f>
        <v>69000</v>
      </c>
      <c r="L388" s="995">
        <f>SUM(K388+J388)</f>
        <v>69000</v>
      </c>
      <c r="M388" s="995">
        <v>64000</v>
      </c>
    </row>
    <row r="389" spans="1:13" ht="18" customHeight="1" x14ac:dyDescent="0.25">
      <c r="A389" s="986"/>
      <c r="B389" s="987"/>
      <c r="C389" s="987"/>
      <c r="D389" s="987" t="s">
        <v>868</v>
      </c>
      <c r="E389" s="987"/>
      <c r="F389" s="988"/>
      <c r="G389" s="989" t="s">
        <v>932</v>
      </c>
      <c r="H389" s="993" t="s">
        <v>869</v>
      </c>
      <c r="I389" s="994">
        <v>0</v>
      </c>
      <c r="J389" s="995">
        <v>0</v>
      </c>
      <c r="K389" s="995">
        <f>0-J389</f>
        <v>0</v>
      </c>
      <c r="L389" s="995">
        <f>SUM(K389+J389)</f>
        <v>0</v>
      </c>
      <c r="M389" s="995">
        <v>20000</v>
      </c>
    </row>
    <row r="390" spans="1:13" ht="18" customHeight="1" x14ac:dyDescent="0.25">
      <c r="A390" s="986"/>
      <c r="B390" s="987"/>
      <c r="C390" s="987"/>
      <c r="D390" s="987" t="s">
        <v>862</v>
      </c>
      <c r="E390" s="987"/>
      <c r="F390" s="988"/>
      <c r="G390" s="989" t="s">
        <v>863</v>
      </c>
      <c r="H390" s="993" t="s">
        <v>864</v>
      </c>
      <c r="I390" s="994">
        <v>0</v>
      </c>
      <c r="J390" s="995">
        <v>24600</v>
      </c>
      <c r="K390" s="995">
        <f>86000-J390</f>
        <v>61400</v>
      </c>
      <c r="L390" s="995">
        <f>SUM(K390+J390)</f>
        <v>86000</v>
      </c>
      <c r="M390" s="995">
        <v>10000</v>
      </c>
    </row>
    <row r="391" spans="1:13" s="1003" customFormat="1" ht="18" customHeight="1" x14ac:dyDescent="0.25">
      <c r="A391" s="998"/>
      <c r="B391" s="999"/>
      <c r="C391" s="999"/>
      <c r="D391" s="999" t="s">
        <v>808</v>
      </c>
      <c r="E391" s="999"/>
      <c r="F391" s="1000"/>
      <c r="G391" s="1001"/>
      <c r="H391" s="1034"/>
      <c r="I391" s="1002">
        <f>SUM(I387:I390)</f>
        <v>130700</v>
      </c>
      <c r="J391" s="1002">
        <f>SUM(J387:J390)</f>
        <v>55446</v>
      </c>
      <c r="K391" s="1005">
        <f>SUM(K387:K390)</f>
        <v>179554</v>
      </c>
      <c r="L391" s="1005">
        <f>SUM(L387:L390)</f>
        <v>235000</v>
      </c>
      <c r="M391" s="1005">
        <f>SUM(M387:M390)</f>
        <v>105500</v>
      </c>
    </row>
    <row r="392" spans="1:13" s="1003" customFormat="1" ht="18" customHeight="1" x14ac:dyDescent="0.25">
      <c r="A392" s="998"/>
      <c r="B392" s="999"/>
      <c r="C392" s="999"/>
      <c r="D392" s="999"/>
      <c r="E392" s="999"/>
      <c r="F392" s="1000"/>
      <c r="G392" s="1001"/>
      <c r="H392" s="1034"/>
      <c r="I392" s="1002"/>
      <c r="J392" s="1005"/>
      <c r="K392" s="1005"/>
      <c r="L392" s="1005"/>
      <c r="M392" s="1005"/>
    </row>
    <row r="393" spans="1:13" ht="18" customHeight="1" x14ac:dyDescent="0.25">
      <c r="A393" s="1006" t="s">
        <v>635</v>
      </c>
      <c r="B393" s="1007"/>
      <c r="C393" s="1007"/>
      <c r="D393" s="1007"/>
      <c r="E393" s="1007"/>
      <c r="F393" s="1008"/>
      <c r="G393" s="1009"/>
      <c r="H393" s="1035"/>
      <c r="I393" s="1011">
        <f>SUM(I391+I385+I377)</f>
        <v>2707188.1</v>
      </c>
      <c r="J393" s="1011">
        <f>SUM(J391+J385+J377)</f>
        <v>1318644.94</v>
      </c>
      <c r="K393" s="1011">
        <f>SUM(K391+K385+K377)</f>
        <v>2097744.2999999998</v>
      </c>
      <c r="L393" s="1011">
        <f>SUM(L391+L385+L377)</f>
        <v>3416389.24</v>
      </c>
      <c r="M393" s="1011">
        <f>SUM(M391+M385+M377)</f>
        <v>3222181</v>
      </c>
    </row>
    <row r="394" spans="1:13" ht="18" customHeight="1" x14ac:dyDescent="0.25">
      <c r="A394" s="973"/>
      <c r="B394" s="1012"/>
      <c r="C394" s="973"/>
      <c r="D394" s="973"/>
      <c r="E394" s="973"/>
      <c r="F394" s="973"/>
      <c r="G394" s="973"/>
      <c r="H394" s="1013"/>
      <c r="I394" s="1013"/>
      <c r="J394" s="1014"/>
      <c r="K394" s="1014"/>
      <c r="L394" s="1014"/>
      <c r="M394" s="1014"/>
    </row>
    <row r="395" spans="1:13" ht="18" customHeight="1" x14ac:dyDescent="0.25">
      <c r="A395" s="973"/>
      <c r="B395" s="1012"/>
      <c r="C395" s="973"/>
      <c r="D395" s="973"/>
      <c r="E395" s="973"/>
      <c r="F395" s="973"/>
      <c r="G395" s="973"/>
      <c r="H395" s="1013"/>
      <c r="I395" s="1013"/>
      <c r="J395" s="1014"/>
      <c r="K395" s="1014"/>
      <c r="L395" s="1014"/>
      <c r="M395" s="1014"/>
    </row>
    <row r="396" spans="1:13" ht="18" customHeight="1" x14ac:dyDescent="0.25">
      <c r="A396" s="973"/>
      <c r="B396" s="1012"/>
      <c r="C396" s="973"/>
      <c r="D396" s="973"/>
      <c r="E396" s="973"/>
      <c r="F396" s="973"/>
      <c r="G396" s="973"/>
      <c r="H396" s="1013"/>
      <c r="I396" s="1013"/>
      <c r="J396" s="1014"/>
      <c r="K396" s="1014"/>
      <c r="L396" s="1014"/>
      <c r="M396" s="1014"/>
    </row>
    <row r="397" spans="1:13" s="956" customFormat="1" ht="18" customHeight="1" x14ac:dyDescent="0.25">
      <c r="A397" s="953" t="s">
        <v>636</v>
      </c>
      <c r="B397" s="953"/>
      <c r="C397" s="954"/>
      <c r="D397" s="954"/>
      <c r="E397" s="954"/>
      <c r="F397" s="954"/>
      <c r="G397" s="954"/>
      <c r="H397" s="1017"/>
      <c r="I397" s="1017" t="s">
        <v>637</v>
      </c>
      <c r="J397" s="1014"/>
      <c r="K397" s="1018"/>
      <c r="L397" s="1018" t="s">
        <v>264</v>
      </c>
      <c r="M397" s="1014"/>
    </row>
    <row r="398" spans="1:13" s="956" customFormat="1" ht="18" customHeight="1" x14ac:dyDescent="0.25">
      <c r="A398" s="954"/>
      <c r="B398" s="953"/>
      <c r="C398" s="954"/>
      <c r="F398" s="953"/>
      <c r="G398" s="1103"/>
      <c r="H398" s="1103"/>
      <c r="I398" s="1099"/>
      <c r="J398" s="1099"/>
      <c r="K398" s="1014"/>
      <c r="L398" s="1019"/>
      <c r="M398" s="1014"/>
    </row>
    <row r="399" spans="1:13" s="956" customFormat="1" ht="18" customHeight="1" x14ac:dyDescent="0.25">
      <c r="A399" s="953"/>
      <c r="B399" s="953"/>
      <c r="C399" s="953"/>
      <c r="D399" s="1020"/>
      <c r="E399" s="1020"/>
      <c r="F399" s="1021" t="s">
        <v>809</v>
      </c>
      <c r="G399" s="1022"/>
      <c r="H399" s="1023"/>
      <c r="I399" s="1100" t="s">
        <v>17</v>
      </c>
      <c r="J399" s="1100"/>
      <c r="K399" s="1023"/>
      <c r="L399" s="1100" t="s">
        <v>1495</v>
      </c>
      <c r="M399" s="1100"/>
    </row>
    <row r="400" spans="1:13" s="956" customFormat="1" ht="18" customHeight="1" x14ac:dyDescent="0.25">
      <c r="A400" s="954"/>
      <c r="B400" s="953"/>
      <c r="C400" s="954"/>
      <c r="D400" s="954"/>
      <c r="E400" s="954"/>
      <c r="F400" s="1013" t="s">
        <v>248</v>
      </c>
      <c r="G400" s="1025"/>
      <c r="H400" s="1025"/>
      <c r="I400" s="1101" t="s">
        <v>18</v>
      </c>
      <c r="J400" s="1101"/>
      <c r="K400" s="1026"/>
      <c r="L400" s="1102" t="s">
        <v>14</v>
      </c>
      <c r="M400" s="1102"/>
    </row>
    <row r="401" spans="1:13" s="956" customFormat="1" ht="18" customHeight="1" x14ac:dyDescent="0.25">
      <c r="A401" s="954"/>
      <c r="B401" s="953"/>
      <c r="C401" s="954"/>
      <c r="D401" s="954"/>
      <c r="E401" s="954"/>
      <c r="F401" s="954"/>
      <c r="G401" s="1025"/>
      <c r="H401" s="1013"/>
      <c r="I401" s="1013"/>
      <c r="K401" s="1027"/>
      <c r="L401" s="1027"/>
      <c r="M401" s="1014"/>
    </row>
    <row r="402" spans="1:13" s="956" customFormat="1" ht="18" customHeight="1" x14ac:dyDescent="0.25">
      <c r="A402" s="954"/>
      <c r="B402" s="953"/>
      <c r="C402" s="954"/>
      <c r="D402" s="954"/>
      <c r="E402" s="954"/>
      <c r="F402" s="954"/>
      <c r="G402" s="1025"/>
      <c r="H402" s="1013"/>
      <c r="I402" s="1013"/>
      <c r="K402" s="1027"/>
      <c r="L402" s="1027"/>
      <c r="M402" s="1014"/>
    </row>
    <row r="403" spans="1:13" s="956" customFormat="1" ht="18" customHeight="1" x14ac:dyDescent="0.25">
      <c r="A403" s="954"/>
      <c r="B403" s="953"/>
      <c r="C403" s="954"/>
      <c r="D403" s="954"/>
      <c r="E403" s="954"/>
      <c r="F403" s="954"/>
      <c r="G403" s="1025"/>
      <c r="H403" s="1013"/>
      <c r="I403" s="1013"/>
      <c r="K403" s="1027"/>
      <c r="L403" s="1027"/>
      <c r="M403" s="1014"/>
    </row>
    <row r="404" spans="1:13" s="956" customFormat="1" ht="18" customHeight="1" x14ac:dyDescent="0.25">
      <c r="A404" s="954"/>
      <c r="B404" s="953"/>
      <c r="C404" s="954"/>
      <c r="D404" s="954"/>
      <c r="E404" s="954"/>
      <c r="F404" s="954"/>
      <c r="G404" s="1025"/>
      <c r="H404" s="1013"/>
      <c r="I404" s="1013"/>
      <c r="K404" s="1027"/>
      <c r="L404" s="1027"/>
      <c r="M404" s="1014"/>
    </row>
    <row r="405" spans="1:13" s="956" customFormat="1" ht="18" customHeight="1" x14ac:dyDescent="0.25">
      <c r="A405" s="954"/>
      <c r="B405" s="953"/>
      <c r="C405" s="954"/>
      <c r="D405" s="954"/>
      <c r="E405" s="954"/>
      <c r="F405" s="954"/>
      <c r="G405" s="1025"/>
      <c r="H405" s="1013"/>
      <c r="I405" s="1013"/>
      <c r="K405" s="1027"/>
      <c r="L405" s="1027"/>
      <c r="M405" s="1014"/>
    </row>
    <row r="406" spans="1:13" s="956" customFormat="1" ht="18" customHeight="1" x14ac:dyDescent="0.25">
      <c r="A406" s="954"/>
      <c r="B406" s="953"/>
      <c r="C406" s="954"/>
      <c r="D406" s="954"/>
      <c r="E406" s="954"/>
      <c r="F406" s="954"/>
      <c r="G406" s="1025"/>
      <c r="H406" s="1013"/>
      <c r="I406" s="1013"/>
      <c r="K406" s="1027"/>
      <c r="L406" s="1027"/>
      <c r="M406" s="1014"/>
    </row>
    <row r="407" spans="1:13" s="956" customFormat="1" ht="18" customHeight="1" x14ac:dyDescent="0.25">
      <c r="A407" s="954"/>
      <c r="B407" s="953"/>
      <c r="C407" s="954"/>
      <c r="D407" s="954"/>
      <c r="E407" s="954"/>
      <c r="F407" s="954"/>
      <c r="G407" s="1025"/>
      <c r="H407" s="1013"/>
      <c r="I407" s="1013"/>
      <c r="K407" s="1027"/>
      <c r="L407" s="1027"/>
      <c r="M407" s="1014"/>
    </row>
    <row r="408" spans="1:13" s="956" customFormat="1" ht="18" customHeight="1" x14ac:dyDescent="0.25">
      <c r="A408" s="954"/>
      <c r="B408" s="953"/>
      <c r="C408" s="954"/>
      <c r="D408" s="954"/>
      <c r="E408" s="954"/>
      <c r="F408" s="954"/>
      <c r="G408" s="1025"/>
      <c r="H408" s="1013"/>
      <c r="I408" s="1013"/>
      <c r="K408" s="1027"/>
      <c r="L408" s="1027"/>
      <c r="M408" s="1014"/>
    </row>
    <row r="409" spans="1:13" s="956" customFormat="1" ht="18" customHeight="1" x14ac:dyDescent="0.25">
      <c r="A409" s="954"/>
      <c r="B409" s="953"/>
      <c r="C409" s="954"/>
      <c r="D409" s="954"/>
      <c r="E409" s="954"/>
      <c r="F409" s="954"/>
      <c r="G409" s="1025"/>
      <c r="H409" s="1013"/>
      <c r="I409" s="1013"/>
      <c r="K409" s="1027"/>
      <c r="L409" s="1027"/>
      <c r="M409" s="1014"/>
    </row>
    <row r="410" spans="1:13" s="956" customFormat="1" ht="18" customHeight="1" x14ac:dyDescent="0.25">
      <c r="A410" s="954"/>
      <c r="B410" s="953"/>
      <c r="C410" s="954"/>
      <c r="D410" s="954"/>
      <c r="E410" s="954"/>
      <c r="F410" s="954"/>
      <c r="G410" s="1025"/>
      <c r="H410" s="1013"/>
      <c r="I410" s="1013"/>
      <c r="K410" s="1027"/>
      <c r="L410" s="1027"/>
      <c r="M410" s="1014"/>
    </row>
    <row r="411" spans="1:13" s="956" customFormat="1" ht="18" customHeight="1" x14ac:dyDescent="0.25">
      <c r="A411" s="954"/>
      <c r="B411" s="953"/>
      <c r="C411" s="954"/>
      <c r="D411" s="954"/>
      <c r="E411" s="954"/>
      <c r="F411" s="954"/>
      <c r="G411" s="1025"/>
      <c r="H411" s="1013"/>
      <c r="I411" s="1013"/>
      <c r="K411" s="1027"/>
      <c r="L411" s="1027"/>
      <c r="M411" s="1014"/>
    </row>
    <row r="412" spans="1:13" s="956" customFormat="1" ht="18" customHeight="1" x14ac:dyDescent="0.25">
      <c r="A412" s="954"/>
      <c r="B412" s="953"/>
      <c r="C412" s="954"/>
      <c r="D412" s="954"/>
      <c r="E412" s="954"/>
      <c r="F412" s="954"/>
      <c r="G412" s="1025"/>
      <c r="H412" s="1013"/>
      <c r="I412" s="1013"/>
      <c r="K412" s="1027"/>
      <c r="L412" s="1027"/>
      <c r="M412" s="1014"/>
    </row>
    <row r="413" spans="1:13" s="1041" customFormat="1" ht="20.100000000000001" customHeight="1" x14ac:dyDescent="0.35">
      <c r="A413" s="1095" t="s">
        <v>1725</v>
      </c>
      <c r="B413" s="1095"/>
      <c r="C413" s="1095"/>
      <c r="D413" s="1095"/>
      <c r="E413" s="1095"/>
      <c r="F413" s="1095"/>
      <c r="G413" s="1095"/>
      <c r="H413" s="1095"/>
      <c r="I413" s="1095"/>
      <c r="J413" s="1095"/>
      <c r="K413" s="1095"/>
      <c r="L413" s="1095"/>
      <c r="M413" s="1095"/>
    </row>
    <row r="414" spans="1:13" s="956" customFormat="1" ht="18" customHeight="1" x14ac:dyDescent="0.3">
      <c r="A414" s="953"/>
      <c r="B414" s="954"/>
      <c r="C414" s="954"/>
      <c r="D414" s="954"/>
      <c r="E414" s="954"/>
      <c r="F414" s="954"/>
      <c r="G414" s="954"/>
      <c r="H414" s="954"/>
      <c r="I414" s="954"/>
      <c r="J414" s="954"/>
      <c r="K414" s="954"/>
      <c r="L414" s="954"/>
      <c r="M414" s="1042"/>
    </row>
    <row r="415" spans="1:13" s="956" customFormat="1" ht="18" customHeight="1" x14ac:dyDescent="0.25">
      <c r="A415" s="1087" t="s">
        <v>21</v>
      </c>
      <c r="B415" s="1087"/>
      <c r="C415" s="1087"/>
      <c r="D415" s="1087"/>
      <c r="E415" s="1087"/>
      <c r="F415" s="1087"/>
      <c r="G415" s="1087"/>
      <c r="H415" s="1087"/>
      <c r="I415" s="1087"/>
      <c r="J415" s="1087"/>
      <c r="K415" s="1087"/>
      <c r="L415" s="1087"/>
      <c r="M415" s="1087"/>
    </row>
    <row r="416" spans="1:13" s="956" customFormat="1" ht="18" customHeight="1" x14ac:dyDescent="0.25">
      <c r="A416" s="1087" t="s">
        <v>364</v>
      </c>
      <c r="B416" s="1087"/>
      <c r="C416" s="1087"/>
      <c r="D416" s="1087"/>
      <c r="E416" s="1087"/>
      <c r="F416" s="1087"/>
      <c r="G416" s="1087"/>
      <c r="H416" s="1087"/>
      <c r="I416" s="1087"/>
      <c r="J416" s="1087"/>
      <c r="K416" s="1087"/>
      <c r="L416" s="1087"/>
      <c r="M416" s="1087"/>
    </row>
    <row r="417" spans="1:13" s="956" customFormat="1" ht="18" customHeight="1" x14ac:dyDescent="0.25">
      <c r="A417" s="957"/>
      <c r="B417" s="957"/>
      <c r="C417" s="957"/>
      <c r="D417" s="957"/>
      <c r="E417" s="957"/>
      <c r="F417" s="957"/>
      <c r="G417" s="957"/>
      <c r="H417" s="957"/>
      <c r="I417" s="957"/>
      <c r="J417" s="957"/>
      <c r="K417" s="957"/>
      <c r="L417" s="957"/>
      <c r="M417" s="957"/>
    </row>
    <row r="418" spans="1:13" s="956" customFormat="1" ht="18" customHeight="1" x14ac:dyDescent="0.25">
      <c r="A418" s="958" t="s">
        <v>1729</v>
      </c>
      <c r="B418" s="957"/>
      <c r="C418" s="959"/>
      <c r="D418" s="957"/>
      <c r="E418" s="957"/>
      <c r="F418" s="957"/>
      <c r="G418" s="957"/>
      <c r="H418" s="957"/>
      <c r="I418" s="957"/>
      <c r="J418" s="957"/>
      <c r="K418" s="957"/>
      <c r="L418" s="957"/>
      <c r="M418" s="957"/>
    </row>
    <row r="419" spans="1:13" s="956" customFormat="1" ht="18" customHeight="1" thickBot="1" x14ac:dyDescent="0.3">
      <c r="A419" s="1087"/>
      <c r="B419" s="1087"/>
      <c r="C419" s="1087"/>
      <c r="D419" s="1087"/>
      <c r="E419" s="1087"/>
      <c r="F419" s="1087"/>
      <c r="G419" s="1087"/>
      <c r="H419" s="1087"/>
      <c r="I419" s="1087"/>
      <c r="J419" s="1087"/>
      <c r="K419" s="1087"/>
      <c r="L419" s="1087"/>
      <c r="M419" s="1087"/>
    </row>
    <row r="420" spans="1:13" ht="18" customHeight="1" x14ac:dyDescent="0.2">
      <c r="A420" s="961"/>
      <c r="B420" s="962"/>
      <c r="C420" s="962"/>
      <c r="D420" s="962"/>
      <c r="E420" s="962"/>
      <c r="F420" s="963"/>
      <c r="G420" s="964"/>
      <c r="H420" s="965"/>
      <c r="I420" s="965"/>
      <c r="J420" s="1089" t="s">
        <v>633</v>
      </c>
      <c r="K420" s="1090"/>
      <c r="L420" s="1091"/>
      <c r="M420" s="966"/>
    </row>
    <row r="421" spans="1:13" ht="18" customHeight="1" x14ac:dyDescent="0.2">
      <c r="A421" s="1092"/>
      <c r="B421" s="1093"/>
      <c r="C421" s="1093"/>
      <c r="D421" s="1093"/>
      <c r="E421" s="1093"/>
      <c r="F421" s="1094"/>
      <c r="G421" s="967"/>
      <c r="H421" s="968"/>
      <c r="I421" s="968" t="s">
        <v>6</v>
      </c>
      <c r="J421" s="968" t="s">
        <v>580</v>
      </c>
      <c r="K421" s="968" t="s">
        <v>581</v>
      </c>
      <c r="L421" s="968"/>
      <c r="M421" s="969" t="s">
        <v>7</v>
      </c>
    </row>
    <row r="422" spans="1:13" ht="18" customHeight="1" x14ac:dyDescent="0.25">
      <c r="A422" s="1092" t="s">
        <v>22</v>
      </c>
      <c r="B422" s="1093"/>
      <c r="C422" s="1093"/>
      <c r="D422" s="1093"/>
      <c r="E422" s="1093"/>
      <c r="F422" s="1094"/>
      <c r="G422" s="970"/>
      <c r="H422" s="971" t="s">
        <v>634</v>
      </c>
      <c r="I422" s="968" t="s">
        <v>579</v>
      </c>
      <c r="J422" s="968" t="s">
        <v>579</v>
      </c>
      <c r="K422" s="968" t="s">
        <v>582</v>
      </c>
      <c r="L422" s="968" t="s">
        <v>15</v>
      </c>
      <c r="M422" s="969" t="s">
        <v>584</v>
      </c>
    </row>
    <row r="423" spans="1:13" ht="18" customHeight="1" x14ac:dyDescent="0.2">
      <c r="A423" s="972"/>
      <c r="B423" s="973"/>
      <c r="C423" s="973"/>
      <c r="D423" s="973"/>
      <c r="E423" s="973"/>
      <c r="F423" s="974"/>
      <c r="G423" s="970"/>
      <c r="H423" s="968"/>
      <c r="I423" s="968">
        <v>2019</v>
      </c>
      <c r="J423" s="968">
        <v>2020</v>
      </c>
      <c r="K423" s="968">
        <v>2020</v>
      </c>
      <c r="L423" s="968">
        <v>2020</v>
      </c>
      <c r="M423" s="969">
        <v>2021</v>
      </c>
    </row>
    <row r="424" spans="1:13" ht="18" customHeight="1" thickBot="1" x14ac:dyDescent="0.25">
      <c r="A424" s="1096"/>
      <c r="B424" s="1097"/>
      <c r="C424" s="1097"/>
      <c r="D424" s="1097"/>
      <c r="E424" s="1097"/>
      <c r="F424" s="1098"/>
      <c r="G424" s="975"/>
      <c r="H424" s="976"/>
      <c r="I424" s="976"/>
      <c r="J424" s="976"/>
      <c r="K424" s="976"/>
      <c r="L424" s="976"/>
      <c r="M424" s="977"/>
    </row>
    <row r="425" spans="1:13" ht="18" customHeight="1" x14ac:dyDescent="0.25">
      <c r="A425" s="978"/>
      <c r="B425" s="979" t="s">
        <v>372</v>
      </c>
      <c r="C425" s="980"/>
      <c r="D425" s="979"/>
      <c r="E425" s="979"/>
      <c r="F425" s="981"/>
      <c r="G425" s="982"/>
      <c r="H425" s="1028"/>
      <c r="I425" s="1029"/>
      <c r="J425" s="1030"/>
      <c r="K425" s="1030"/>
      <c r="L425" s="1030"/>
      <c r="M425" s="1030"/>
    </row>
    <row r="426" spans="1:13" ht="18" customHeight="1" x14ac:dyDescent="0.25">
      <c r="A426" s="986"/>
      <c r="B426" s="987"/>
      <c r="C426" s="987" t="s">
        <v>532</v>
      </c>
      <c r="D426" s="987"/>
      <c r="E426" s="987"/>
      <c r="F426" s="988"/>
      <c r="G426" s="989"/>
      <c r="H426" s="1031"/>
      <c r="I426" s="1032"/>
      <c r="J426" s="1033"/>
      <c r="K426" s="1033"/>
      <c r="L426" s="1033"/>
      <c r="M426" s="1033"/>
    </row>
    <row r="427" spans="1:13" ht="18" customHeight="1" x14ac:dyDescent="0.25">
      <c r="A427" s="986"/>
      <c r="B427" s="987"/>
      <c r="C427" s="987"/>
      <c r="D427" s="987" t="s">
        <v>533</v>
      </c>
      <c r="E427" s="987"/>
      <c r="F427" s="988"/>
      <c r="G427" s="989" t="s">
        <v>603</v>
      </c>
      <c r="H427" s="993" t="s">
        <v>698</v>
      </c>
      <c r="I427" s="994">
        <v>2634562</v>
      </c>
      <c r="J427" s="995">
        <v>1391632</v>
      </c>
      <c r="K427" s="995">
        <f>2807628-J427</f>
        <v>1415996</v>
      </c>
      <c r="L427" s="995">
        <f>SUM(K427+J427)</f>
        <v>2807628</v>
      </c>
      <c r="M427" s="995">
        <v>2926558</v>
      </c>
    </row>
    <row r="428" spans="1:13" ht="18" customHeight="1" x14ac:dyDescent="0.25">
      <c r="A428" s="986"/>
      <c r="B428" s="987"/>
      <c r="C428" s="987" t="s">
        <v>534</v>
      </c>
      <c r="D428" s="987"/>
      <c r="E428" s="987"/>
      <c r="F428" s="988"/>
      <c r="G428" s="989"/>
      <c r="H428" s="1031"/>
      <c r="I428" s="994"/>
      <c r="J428" s="995"/>
      <c r="K428" s="995"/>
      <c r="L428" s="995"/>
      <c r="M428" s="995"/>
    </row>
    <row r="429" spans="1:13" ht="18" customHeight="1" x14ac:dyDescent="0.25">
      <c r="A429" s="986"/>
      <c r="B429" s="987"/>
      <c r="C429" s="987"/>
      <c r="D429" s="987" t="s">
        <v>535</v>
      </c>
      <c r="E429" s="987"/>
      <c r="F429" s="988"/>
      <c r="G429" s="989" t="s">
        <v>604</v>
      </c>
      <c r="H429" s="993" t="s">
        <v>699</v>
      </c>
      <c r="I429" s="994">
        <v>278000</v>
      </c>
      <c r="J429" s="995">
        <v>142000</v>
      </c>
      <c r="K429" s="995">
        <f>288000-J429</f>
        <v>146000</v>
      </c>
      <c r="L429" s="995">
        <f t="shared" ref="L429:L445" si="13">SUM(K429+J429)</f>
        <v>288000</v>
      </c>
      <c r="M429" s="995">
        <v>288000</v>
      </c>
    </row>
    <row r="430" spans="1:13" ht="18" customHeight="1" x14ac:dyDescent="0.25">
      <c r="A430" s="986"/>
      <c r="B430" s="987"/>
      <c r="C430" s="987"/>
      <c r="D430" s="987" t="s">
        <v>546</v>
      </c>
      <c r="E430" s="987"/>
      <c r="F430" s="988"/>
      <c r="G430" s="989" t="s">
        <v>605</v>
      </c>
      <c r="H430" s="993" t="s">
        <v>700</v>
      </c>
      <c r="I430" s="994">
        <v>76500</v>
      </c>
      <c r="J430" s="995">
        <v>38250</v>
      </c>
      <c r="K430" s="995">
        <f>76500-J430</f>
        <v>38250</v>
      </c>
      <c r="L430" s="995">
        <f t="shared" si="13"/>
        <v>76500</v>
      </c>
      <c r="M430" s="995">
        <v>76500</v>
      </c>
    </row>
    <row r="431" spans="1:13" ht="18" customHeight="1" x14ac:dyDescent="0.25">
      <c r="A431" s="986"/>
      <c r="B431" s="987"/>
      <c r="C431" s="987"/>
      <c r="D431" s="987" t="s">
        <v>545</v>
      </c>
      <c r="E431" s="987"/>
      <c r="F431" s="988"/>
      <c r="G431" s="989" t="s">
        <v>606</v>
      </c>
      <c r="H431" s="993" t="s">
        <v>701</v>
      </c>
      <c r="I431" s="994">
        <v>76500</v>
      </c>
      <c r="J431" s="995">
        <v>38250</v>
      </c>
      <c r="K431" s="995">
        <f>76500-J431</f>
        <v>38250</v>
      </c>
      <c r="L431" s="995">
        <f t="shared" si="13"/>
        <v>76500</v>
      </c>
      <c r="M431" s="995">
        <v>76500</v>
      </c>
    </row>
    <row r="432" spans="1:13" ht="18" customHeight="1" x14ac:dyDescent="0.25">
      <c r="A432" s="986"/>
      <c r="B432" s="987"/>
      <c r="C432" s="987"/>
      <c r="D432" s="987" t="s">
        <v>547</v>
      </c>
      <c r="E432" s="987"/>
      <c r="F432" s="988"/>
      <c r="G432" s="989" t="s">
        <v>607</v>
      </c>
      <c r="H432" s="993" t="s">
        <v>702</v>
      </c>
      <c r="I432" s="994">
        <v>72000</v>
      </c>
      <c r="J432" s="995">
        <v>66000</v>
      </c>
      <c r="K432" s="995">
        <f>72000-J432</f>
        <v>6000</v>
      </c>
      <c r="L432" s="995">
        <f t="shared" si="13"/>
        <v>72000</v>
      </c>
      <c r="M432" s="995">
        <v>72000</v>
      </c>
    </row>
    <row r="433" spans="1:13" ht="18" customHeight="1" x14ac:dyDescent="0.25">
      <c r="A433" s="986"/>
      <c r="B433" s="987"/>
      <c r="C433" s="987"/>
      <c r="D433" s="987" t="s">
        <v>696</v>
      </c>
      <c r="E433" s="987"/>
      <c r="F433" s="988"/>
      <c r="G433" s="989" t="s">
        <v>609</v>
      </c>
      <c r="H433" s="993" t="s">
        <v>703</v>
      </c>
      <c r="I433" s="994">
        <v>55000</v>
      </c>
      <c r="J433" s="995">
        <v>0</v>
      </c>
      <c r="K433" s="995">
        <f>60000-J433</f>
        <v>60000</v>
      </c>
      <c r="L433" s="995">
        <f t="shared" si="13"/>
        <v>60000</v>
      </c>
      <c r="M433" s="995">
        <v>60000</v>
      </c>
    </row>
    <row r="434" spans="1:13" ht="18" customHeight="1" x14ac:dyDescent="0.25">
      <c r="A434" s="986"/>
      <c r="B434" s="987"/>
      <c r="C434" s="987"/>
      <c r="D434" s="987" t="s">
        <v>549</v>
      </c>
      <c r="E434" s="987"/>
      <c r="F434" s="988"/>
      <c r="G434" s="989" t="s">
        <v>440</v>
      </c>
      <c r="H434" s="993" t="s">
        <v>704</v>
      </c>
      <c r="I434" s="994">
        <v>0</v>
      </c>
      <c r="J434" s="995">
        <v>10000</v>
      </c>
      <c r="K434" s="995">
        <f>10000-J434</f>
        <v>0</v>
      </c>
      <c r="L434" s="995">
        <f t="shared" si="13"/>
        <v>10000</v>
      </c>
      <c r="M434" s="995">
        <v>5000</v>
      </c>
    </row>
    <row r="435" spans="1:13" ht="18" customHeight="1" x14ac:dyDescent="0.25">
      <c r="A435" s="986"/>
      <c r="B435" s="987"/>
      <c r="C435" s="987"/>
      <c r="D435" s="987" t="s">
        <v>1562</v>
      </c>
      <c r="E435" s="987"/>
      <c r="F435" s="988"/>
      <c r="G435" s="989"/>
      <c r="H435" s="993" t="s">
        <v>704</v>
      </c>
      <c r="I435" s="994">
        <v>72020.52</v>
      </c>
      <c r="J435" s="995">
        <v>111815.4</v>
      </c>
      <c r="K435" s="995">
        <f>111815.4-J435</f>
        <v>0</v>
      </c>
      <c r="L435" s="995">
        <f t="shared" si="13"/>
        <v>111815.4</v>
      </c>
      <c r="M435" s="995">
        <v>0</v>
      </c>
    </row>
    <row r="436" spans="1:13" ht="18" customHeight="1" x14ac:dyDescent="0.25">
      <c r="A436" s="986"/>
      <c r="B436" s="987"/>
      <c r="C436" s="987"/>
      <c r="D436" s="987" t="s">
        <v>373</v>
      </c>
      <c r="E436" s="987"/>
      <c r="F436" s="988"/>
      <c r="G436" s="989" t="s">
        <v>611</v>
      </c>
      <c r="H436" s="993" t="s">
        <v>721</v>
      </c>
      <c r="I436" s="994">
        <v>80000</v>
      </c>
      <c r="J436" s="995">
        <v>47543.92</v>
      </c>
      <c r="K436" s="995">
        <f>80000-J436</f>
        <v>32456.080000000002</v>
      </c>
      <c r="L436" s="995">
        <f t="shared" si="13"/>
        <v>80000</v>
      </c>
      <c r="M436" s="995">
        <v>80000</v>
      </c>
    </row>
    <row r="437" spans="1:13" ht="18" customHeight="1" x14ac:dyDescent="0.25">
      <c r="A437" s="986"/>
      <c r="B437" s="987"/>
      <c r="C437" s="987"/>
      <c r="D437" s="987" t="s">
        <v>552</v>
      </c>
      <c r="E437" s="987"/>
      <c r="F437" s="988"/>
      <c r="G437" s="989" t="s">
        <v>612</v>
      </c>
      <c r="H437" s="993" t="s">
        <v>705</v>
      </c>
      <c r="I437" s="994">
        <v>59000</v>
      </c>
      <c r="J437" s="995">
        <v>0</v>
      </c>
      <c r="K437" s="995">
        <f>60000-J437</f>
        <v>60000</v>
      </c>
      <c r="L437" s="995">
        <f t="shared" si="13"/>
        <v>60000</v>
      </c>
      <c r="M437" s="995">
        <v>60000</v>
      </c>
    </row>
    <row r="438" spans="1:13" ht="18" customHeight="1" x14ac:dyDescent="0.25">
      <c r="A438" s="986"/>
      <c r="B438" s="987"/>
      <c r="C438" s="987"/>
      <c r="D438" s="987" t="s">
        <v>816</v>
      </c>
      <c r="E438" s="987"/>
      <c r="F438" s="987"/>
      <c r="G438" s="997" t="s">
        <v>440</v>
      </c>
      <c r="H438" s="993" t="s">
        <v>704</v>
      </c>
      <c r="I438" s="994">
        <v>224071</v>
      </c>
      <c r="J438" s="995">
        <v>222717</v>
      </c>
      <c r="K438" s="995">
        <f>233875-J438</f>
        <v>11158</v>
      </c>
      <c r="L438" s="995">
        <f t="shared" si="13"/>
        <v>233875</v>
      </c>
      <c r="M438" s="995">
        <v>243063</v>
      </c>
    </row>
    <row r="439" spans="1:13" ht="18" customHeight="1" x14ac:dyDescent="0.25">
      <c r="A439" s="986"/>
      <c r="B439" s="987"/>
      <c r="C439" s="987"/>
      <c r="D439" s="987" t="s">
        <v>553</v>
      </c>
      <c r="E439" s="987"/>
      <c r="F439" s="988"/>
      <c r="G439" s="989" t="s">
        <v>613</v>
      </c>
      <c r="H439" s="993" t="s">
        <v>706</v>
      </c>
      <c r="I439" s="994">
        <v>222999.8</v>
      </c>
      <c r="J439" s="995">
        <v>0</v>
      </c>
      <c r="K439" s="995">
        <f>234251-J439</f>
        <v>234251</v>
      </c>
      <c r="L439" s="995">
        <f t="shared" si="13"/>
        <v>234251</v>
      </c>
      <c r="M439" s="995">
        <v>244688</v>
      </c>
    </row>
    <row r="440" spans="1:13" ht="18" customHeight="1" x14ac:dyDescent="0.25">
      <c r="A440" s="986"/>
      <c r="B440" s="987"/>
      <c r="C440" s="987"/>
      <c r="D440" s="987" t="s">
        <v>669</v>
      </c>
      <c r="E440" s="987"/>
      <c r="F440" s="988"/>
      <c r="G440" s="989" t="s">
        <v>614</v>
      </c>
      <c r="H440" s="993" t="s">
        <v>707</v>
      </c>
      <c r="I440" s="994">
        <f>286660.92+29435.92</f>
        <v>316096.83999999997</v>
      </c>
      <c r="J440" s="995">
        <v>127439.4</v>
      </c>
      <c r="K440" s="995">
        <f>337500-J440</f>
        <v>210060.6</v>
      </c>
      <c r="L440" s="995">
        <f t="shared" si="13"/>
        <v>337500</v>
      </c>
      <c r="M440" s="995">
        <v>352000</v>
      </c>
    </row>
    <row r="441" spans="1:13" ht="18" customHeight="1" x14ac:dyDescent="0.25">
      <c r="A441" s="986"/>
      <c r="B441" s="987"/>
      <c r="C441" s="987"/>
      <c r="D441" s="987" t="s">
        <v>554</v>
      </c>
      <c r="E441" s="987"/>
      <c r="F441" s="988"/>
      <c r="G441" s="989" t="s">
        <v>615</v>
      </c>
      <c r="H441" s="993" t="s">
        <v>708</v>
      </c>
      <c r="I441" s="994">
        <v>14100</v>
      </c>
      <c r="J441" s="995">
        <v>5900</v>
      </c>
      <c r="K441" s="995">
        <f>14400-J441</f>
        <v>8500</v>
      </c>
      <c r="L441" s="995">
        <f t="shared" si="13"/>
        <v>14400</v>
      </c>
      <c r="M441" s="995">
        <v>21600</v>
      </c>
    </row>
    <row r="442" spans="1:13" ht="18" customHeight="1" x14ac:dyDescent="0.25">
      <c r="A442" s="986"/>
      <c r="B442" s="987"/>
      <c r="C442" s="987"/>
      <c r="D442" s="987" t="s">
        <v>555</v>
      </c>
      <c r="E442" s="987"/>
      <c r="F442" s="988"/>
      <c r="G442" s="989" t="s">
        <v>616</v>
      </c>
      <c r="H442" s="993" t="s">
        <v>709</v>
      </c>
      <c r="I442" s="994">
        <v>30057.5</v>
      </c>
      <c r="J442" s="995">
        <v>15810</v>
      </c>
      <c r="K442" s="995">
        <f>42700-J442</f>
        <v>26890</v>
      </c>
      <c r="L442" s="995">
        <f t="shared" si="13"/>
        <v>42700</v>
      </c>
      <c r="M442" s="995">
        <v>52000</v>
      </c>
    </row>
    <row r="443" spans="1:13" ht="18" customHeight="1" x14ac:dyDescent="0.25">
      <c r="A443" s="986"/>
      <c r="B443" s="987"/>
      <c r="C443" s="987"/>
      <c r="D443" s="987" t="s">
        <v>665</v>
      </c>
      <c r="E443" s="987"/>
      <c r="F443" s="988"/>
      <c r="G443" s="989" t="s">
        <v>617</v>
      </c>
      <c r="H443" s="993" t="s">
        <v>710</v>
      </c>
      <c r="I443" s="994">
        <f>12800+1100</f>
        <v>13900</v>
      </c>
      <c r="J443" s="995">
        <v>5500</v>
      </c>
      <c r="K443" s="995">
        <f>14400-J443</f>
        <v>8900</v>
      </c>
      <c r="L443" s="995">
        <f t="shared" si="13"/>
        <v>14400</v>
      </c>
      <c r="M443" s="995">
        <v>14400</v>
      </c>
    </row>
    <row r="444" spans="1:13" ht="18" customHeight="1" x14ac:dyDescent="0.25">
      <c r="A444" s="986"/>
      <c r="B444" s="987"/>
      <c r="C444" s="987"/>
      <c r="D444" s="987" t="s">
        <v>557</v>
      </c>
      <c r="E444" s="987"/>
      <c r="F444" s="988"/>
      <c r="G444" s="989" t="s">
        <v>403</v>
      </c>
      <c r="H444" s="993" t="s">
        <v>722</v>
      </c>
      <c r="I444" s="994">
        <v>0</v>
      </c>
      <c r="J444" s="995">
        <v>90935.38</v>
      </c>
      <c r="K444" s="995">
        <f>90935.38-J444</f>
        <v>0</v>
      </c>
      <c r="L444" s="995">
        <f t="shared" si="13"/>
        <v>90935.38</v>
      </c>
      <c r="M444" s="995">
        <v>0</v>
      </c>
    </row>
    <row r="445" spans="1:13" ht="18" customHeight="1" x14ac:dyDescent="0.25">
      <c r="A445" s="986"/>
      <c r="B445" s="987"/>
      <c r="C445" s="987"/>
      <c r="D445" s="987" t="s">
        <v>1563</v>
      </c>
      <c r="E445" s="987"/>
      <c r="F445" s="988"/>
      <c r="G445" s="989"/>
      <c r="H445" s="993" t="s">
        <v>722</v>
      </c>
      <c r="I445" s="994">
        <v>110000</v>
      </c>
      <c r="J445" s="995">
        <v>0</v>
      </c>
      <c r="K445" s="995">
        <f>0-J445</f>
        <v>0</v>
      </c>
      <c r="L445" s="995">
        <f t="shared" si="13"/>
        <v>0</v>
      </c>
      <c r="M445" s="995">
        <v>0</v>
      </c>
    </row>
    <row r="446" spans="1:13" ht="18" customHeight="1" x14ac:dyDescent="0.25">
      <c r="A446" s="998"/>
      <c r="B446" s="999"/>
      <c r="C446" s="999"/>
      <c r="D446" s="999" t="s">
        <v>377</v>
      </c>
      <c r="E446" s="999"/>
      <c r="F446" s="1000"/>
      <c r="G446" s="1001"/>
      <c r="H446" s="1034"/>
      <c r="I446" s="1002">
        <f>SUM(I427:I445)</f>
        <v>4334807.66</v>
      </c>
      <c r="J446" s="1002">
        <f>SUM(J427:J445)</f>
        <v>2313793.0999999996</v>
      </c>
      <c r="K446" s="1002">
        <f>SUM(K427:K445)</f>
        <v>2296711.6800000002</v>
      </c>
      <c r="L446" s="1002">
        <f>SUM(L427:L445)</f>
        <v>4610504.78</v>
      </c>
      <c r="M446" s="1002">
        <f>SUM(M427:M445)</f>
        <v>4572309</v>
      </c>
    </row>
    <row r="447" spans="1:13" ht="18" customHeight="1" x14ac:dyDescent="0.25">
      <c r="A447" s="986"/>
      <c r="B447" s="987" t="s">
        <v>558</v>
      </c>
      <c r="C447" s="987"/>
      <c r="D447" s="987"/>
      <c r="E447" s="987"/>
      <c r="F447" s="988"/>
      <c r="G447" s="989"/>
      <c r="H447" s="1031"/>
      <c r="I447" s="994"/>
      <c r="J447" s="995"/>
      <c r="K447" s="995"/>
      <c r="L447" s="995"/>
      <c r="M447" s="995"/>
    </row>
    <row r="448" spans="1:13" ht="18" customHeight="1" x14ac:dyDescent="0.25">
      <c r="A448" s="986"/>
      <c r="B448" s="987"/>
      <c r="C448" s="987"/>
      <c r="D448" s="987" t="s">
        <v>559</v>
      </c>
      <c r="E448" s="987"/>
      <c r="F448" s="988"/>
      <c r="G448" s="989" t="s">
        <v>390</v>
      </c>
      <c r="H448" s="993" t="s">
        <v>712</v>
      </c>
      <c r="I448" s="994">
        <f>118280+1720</f>
        <v>120000</v>
      </c>
      <c r="J448" s="995">
        <v>4800</v>
      </c>
      <c r="K448" s="995">
        <f>135000-J448</f>
        <v>130200</v>
      </c>
      <c r="L448" s="995">
        <f t="shared" ref="L448:L456" si="14">SUM(K448+J448)</f>
        <v>135000</v>
      </c>
      <c r="M448" s="995">
        <f>150000-12000</f>
        <v>138000</v>
      </c>
    </row>
    <row r="449" spans="1:13" ht="18" customHeight="1" x14ac:dyDescent="0.25">
      <c r="A449" s="986"/>
      <c r="B449" s="987"/>
      <c r="C449" s="987"/>
      <c r="D449" s="987" t="s">
        <v>436</v>
      </c>
      <c r="E449" s="987"/>
      <c r="F449" s="988"/>
      <c r="G449" s="989" t="s">
        <v>391</v>
      </c>
      <c r="H449" s="993" t="s">
        <v>713</v>
      </c>
      <c r="I449" s="994">
        <v>90000</v>
      </c>
      <c r="J449" s="995">
        <v>3000</v>
      </c>
      <c r="K449" s="995">
        <f>110000-J449</f>
        <v>107000</v>
      </c>
      <c r="L449" s="995">
        <f t="shared" si="14"/>
        <v>110000</v>
      </c>
      <c r="M449" s="995">
        <v>110000</v>
      </c>
    </row>
    <row r="450" spans="1:13" ht="18" customHeight="1" x14ac:dyDescent="0.25">
      <c r="A450" s="986"/>
      <c r="B450" s="987"/>
      <c r="C450" s="987"/>
      <c r="D450" s="987" t="s">
        <v>384</v>
      </c>
      <c r="E450" s="987"/>
      <c r="F450" s="988"/>
      <c r="G450" s="989" t="s">
        <v>393</v>
      </c>
      <c r="H450" s="993" t="s">
        <v>714</v>
      </c>
      <c r="I450" s="994">
        <v>185816.3</v>
      </c>
      <c r="J450" s="995">
        <v>70145.5</v>
      </c>
      <c r="K450" s="995">
        <f>210000-J450</f>
        <v>139854.5</v>
      </c>
      <c r="L450" s="995">
        <f t="shared" si="14"/>
        <v>210000</v>
      </c>
      <c r="M450" s="995">
        <v>220000</v>
      </c>
    </row>
    <row r="451" spans="1:13" ht="18" customHeight="1" x14ac:dyDescent="0.25">
      <c r="A451" s="986"/>
      <c r="B451" s="987"/>
      <c r="C451" s="987"/>
      <c r="D451" s="987" t="s">
        <v>560</v>
      </c>
      <c r="E451" s="987"/>
      <c r="F451" s="988"/>
      <c r="G451" s="989" t="s">
        <v>620</v>
      </c>
      <c r="H451" s="993" t="s">
        <v>723</v>
      </c>
      <c r="I451" s="994">
        <v>180680</v>
      </c>
      <c r="J451" s="995">
        <v>89520</v>
      </c>
      <c r="K451" s="995">
        <f>200000-J451</f>
        <v>110480</v>
      </c>
      <c r="L451" s="995">
        <f t="shared" si="14"/>
        <v>200000</v>
      </c>
      <c r="M451" s="995">
        <v>200000</v>
      </c>
    </row>
    <row r="452" spans="1:13" ht="18" customHeight="1" x14ac:dyDescent="0.25">
      <c r="A452" s="986"/>
      <c r="B452" s="987"/>
      <c r="C452" s="987"/>
      <c r="D452" s="987" t="s">
        <v>563</v>
      </c>
      <c r="E452" s="987"/>
      <c r="F452" s="988"/>
      <c r="G452" s="989" t="s">
        <v>622</v>
      </c>
      <c r="H452" s="993" t="s">
        <v>715</v>
      </c>
      <c r="I452" s="994">
        <v>0</v>
      </c>
      <c r="J452" s="995">
        <v>0</v>
      </c>
      <c r="K452" s="995">
        <f>5000-J452</f>
        <v>5000</v>
      </c>
      <c r="L452" s="995">
        <f t="shared" si="14"/>
        <v>5000</v>
      </c>
      <c r="M452" s="995">
        <v>5000</v>
      </c>
    </row>
    <row r="453" spans="1:13" ht="18" customHeight="1" x14ac:dyDescent="0.25">
      <c r="A453" s="986"/>
      <c r="B453" s="987"/>
      <c r="C453" s="987"/>
      <c r="D453" s="987" t="s">
        <v>565</v>
      </c>
      <c r="E453" s="987"/>
      <c r="F453" s="988"/>
      <c r="G453" s="989" t="s">
        <v>394</v>
      </c>
      <c r="H453" s="993" t="s">
        <v>716</v>
      </c>
      <c r="I453" s="994">
        <v>24000</v>
      </c>
      <c r="J453" s="995">
        <v>12000</v>
      </c>
      <c r="K453" s="995">
        <f>24000-J453</f>
        <v>12000</v>
      </c>
      <c r="L453" s="995">
        <f t="shared" si="14"/>
        <v>24000</v>
      </c>
      <c r="M453" s="995">
        <f>24000+12000</f>
        <v>36000</v>
      </c>
    </row>
    <row r="454" spans="1:13" ht="18" customHeight="1" x14ac:dyDescent="0.25">
      <c r="A454" s="986"/>
      <c r="B454" s="987"/>
      <c r="C454" s="987"/>
      <c r="D454" s="987" t="s">
        <v>945</v>
      </c>
      <c r="E454" s="987"/>
      <c r="F454" s="988"/>
      <c r="G454" s="989" t="s">
        <v>395</v>
      </c>
      <c r="H454" s="993" t="s">
        <v>717</v>
      </c>
      <c r="I454" s="994">
        <v>20000</v>
      </c>
      <c r="J454" s="995">
        <v>8350</v>
      </c>
      <c r="K454" s="995">
        <f>40000-J454</f>
        <v>31650</v>
      </c>
      <c r="L454" s="995">
        <f t="shared" si="14"/>
        <v>40000</v>
      </c>
      <c r="M454" s="995">
        <v>50000</v>
      </c>
    </row>
    <row r="455" spans="1:13" ht="18" customHeight="1" x14ac:dyDescent="0.25">
      <c r="A455" s="986"/>
      <c r="B455" s="987"/>
      <c r="C455" s="987"/>
      <c r="D455" s="987" t="s">
        <v>571</v>
      </c>
      <c r="E455" s="987"/>
      <c r="F455" s="988"/>
      <c r="G455" s="989" t="s">
        <v>629</v>
      </c>
      <c r="H455" s="993" t="s">
        <v>731</v>
      </c>
      <c r="I455" s="994">
        <v>99097.5</v>
      </c>
      <c r="J455" s="995">
        <v>4893.75</v>
      </c>
      <c r="K455" s="995">
        <f>120000-J455</f>
        <v>115106.25</v>
      </c>
      <c r="L455" s="995">
        <f t="shared" si="14"/>
        <v>120000</v>
      </c>
      <c r="M455" s="995">
        <v>120000</v>
      </c>
    </row>
    <row r="456" spans="1:13" ht="18" customHeight="1" x14ac:dyDescent="0.25">
      <c r="A456" s="986"/>
      <c r="B456" s="987"/>
      <c r="C456" s="987"/>
      <c r="D456" s="987" t="s">
        <v>572</v>
      </c>
      <c r="E456" s="987"/>
      <c r="F456" s="988"/>
      <c r="G456" s="989" t="s">
        <v>396</v>
      </c>
      <c r="H456" s="993" t="s">
        <v>718</v>
      </c>
      <c r="I456" s="994">
        <v>320000</v>
      </c>
      <c r="J456" s="995">
        <v>0</v>
      </c>
      <c r="K456" s="995">
        <f>20000-J456</f>
        <v>20000</v>
      </c>
      <c r="L456" s="995">
        <f t="shared" si="14"/>
        <v>20000</v>
      </c>
      <c r="M456" s="995">
        <v>25000</v>
      </c>
    </row>
    <row r="457" spans="1:13" ht="18" customHeight="1" x14ac:dyDescent="0.25">
      <c r="A457" s="998"/>
      <c r="B457" s="999"/>
      <c r="C457" s="999"/>
      <c r="D457" s="999" t="s">
        <v>763</v>
      </c>
      <c r="E457" s="999"/>
      <c r="F457" s="1000"/>
      <c r="G457" s="1001"/>
      <c r="H457" s="1034"/>
      <c r="I457" s="1002">
        <f>SUM(I448:I456)</f>
        <v>1039593.8</v>
      </c>
      <c r="J457" s="1002">
        <f>SUM(J448:J456)</f>
        <v>192709.25</v>
      </c>
      <c r="K457" s="1002">
        <f>SUM(K448:K456)</f>
        <v>671290.75</v>
      </c>
      <c r="L457" s="1002">
        <f>SUM(L448:L456)</f>
        <v>864000</v>
      </c>
      <c r="M457" s="1002">
        <f>SUM(M448:M456)</f>
        <v>904000</v>
      </c>
    </row>
    <row r="458" spans="1:13" ht="18" customHeight="1" x14ac:dyDescent="0.25">
      <c r="A458" s="986"/>
      <c r="B458" s="987" t="s">
        <v>573</v>
      </c>
      <c r="C458" s="987"/>
      <c r="D458" s="987"/>
      <c r="E458" s="987"/>
      <c r="F458" s="988"/>
      <c r="G458" s="989"/>
      <c r="H458" s="1031"/>
      <c r="I458" s="994"/>
      <c r="J458" s="995"/>
      <c r="K458" s="995"/>
      <c r="L458" s="995"/>
      <c r="M458" s="995"/>
    </row>
    <row r="459" spans="1:13" ht="18" customHeight="1" x14ac:dyDescent="0.25">
      <c r="A459" s="986"/>
      <c r="B459" s="987"/>
      <c r="C459" s="987"/>
      <c r="D459" s="987" t="s">
        <v>697</v>
      </c>
      <c r="E459" s="987"/>
      <c r="F459" s="988"/>
      <c r="G459" s="989" t="s">
        <v>859</v>
      </c>
      <c r="H459" s="993" t="s">
        <v>860</v>
      </c>
      <c r="I459" s="994">
        <v>0</v>
      </c>
      <c r="J459" s="995">
        <v>0</v>
      </c>
      <c r="K459" s="995">
        <f>60000-J459</f>
        <v>60000</v>
      </c>
      <c r="L459" s="995">
        <f>SUM(K459+J459)</f>
        <v>60000</v>
      </c>
      <c r="M459" s="995">
        <v>10000</v>
      </c>
    </row>
    <row r="460" spans="1:13" ht="18" customHeight="1" x14ac:dyDescent="0.25">
      <c r="A460" s="986"/>
      <c r="B460" s="987"/>
      <c r="C460" s="987"/>
      <c r="D460" s="987" t="s">
        <v>858</v>
      </c>
      <c r="E460" s="987"/>
      <c r="F460" s="988"/>
      <c r="G460" s="989" t="s">
        <v>861</v>
      </c>
      <c r="H460" s="993" t="s">
        <v>1640</v>
      </c>
      <c r="I460" s="994">
        <v>4950</v>
      </c>
      <c r="J460" s="995">
        <v>34600</v>
      </c>
      <c r="K460" s="995">
        <f>65000-J460</f>
        <v>30400</v>
      </c>
      <c r="L460" s="995">
        <f>SUM(K460+J460)</f>
        <v>65000</v>
      </c>
      <c r="M460" s="995">
        <v>130000</v>
      </c>
    </row>
    <row r="461" spans="1:13" ht="18" customHeight="1" x14ac:dyDescent="0.25">
      <c r="A461" s="986"/>
      <c r="B461" s="987"/>
      <c r="C461" s="987"/>
      <c r="D461" s="987" t="s">
        <v>868</v>
      </c>
      <c r="E461" s="987"/>
      <c r="F461" s="988"/>
      <c r="G461" s="989"/>
      <c r="H461" s="993" t="s">
        <v>869</v>
      </c>
      <c r="I461" s="994"/>
      <c r="J461" s="995"/>
      <c r="K461" s="995"/>
      <c r="L461" s="995"/>
      <c r="M461" s="995">
        <v>20000</v>
      </c>
    </row>
    <row r="462" spans="1:13" ht="18" customHeight="1" x14ac:dyDescent="0.25">
      <c r="A462" s="986"/>
      <c r="B462" s="987"/>
      <c r="C462" s="987"/>
      <c r="D462" s="987" t="s">
        <v>862</v>
      </c>
      <c r="E462" s="987"/>
      <c r="F462" s="988"/>
      <c r="G462" s="989" t="s">
        <v>863</v>
      </c>
      <c r="H462" s="993" t="s">
        <v>864</v>
      </c>
      <c r="I462" s="994">
        <v>45000</v>
      </c>
      <c r="J462" s="995">
        <v>0</v>
      </c>
      <c r="K462" s="995">
        <f>30000-J462</f>
        <v>30000</v>
      </c>
      <c r="L462" s="995">
        <f>SUM(K462+J462)</f>
        <v>30000</v>
      </c>
      <c r="M462" s="995">
        <v>0</v>
      </c>
    </row>
    <row r="463" spans="1:13" ht="18" customHeight="1" x14ac:dyDescent="0.25">
      <c r="A463" s="998"/>
      <c r="B463" s="999"/>
      <c r="C463" s="999"/>
      <c r="D463" s="999" t="s">
        <v>808</v>
      </c>
      <c r="E463" s="999"/>
      <c r="F463" s="1000"/>
      <c r="G463" s="1001"/>
      <c r="H463" s="1034"/>
      <c r="I463" s="1002">
        <f>SUM(I459:I462)</f>
        <v>49950</v>
      </c>
      <c r="J463" s="1005">
        <f>SUM(J459:J462)</f>
        <v>34600</v>
      </c>
      <c r="K463" s="1005">
        <f>SUM(K459:K462)</f>
        <v>120400</v>
      </c>
      <c r="L463" s="1005">
        <f>SUM(L459:L462)</f>
        <v>155000</v>
      </c>
      <c r="M463" s="1005">
        <f>SUM(M459:M462)</f>
        <v>160000</v>
      </c>
    </row>
    <row r="464" spans="1:13" ht="18" customHeight="1" x14ac:dyDescent="0.25">
      <c r="A464" s="998"/>
      <c r="B464" s="999"/>
      <c r="C464" s="999"/>
      <c r="D464" s="999"/>
      <c r="E464" s="999"/>
      <c r="F464" s="1000"/>
      <c r="G464" s="1001"/>
      <c r="H464" s="1034"/>
      <c r="I464" s="1002"/>
      <c r="J464" s="1005"/>
      <c r="K464" s="1005"/>
      <c r="L464" s="1005"/>
      <c r="M464" s="1005"/>
    </row>
    <row r="465" spans="1:13" ht="18" customHeight="1" x14ac:dyDescent="0.25">
      <c r="A465" s="1006" t="s">
        <v>635</v>
      </c>
      <c r="B465" s="1007"/>
      <c r="C465" s="1007"/>
      <c r="D465" s="1007"/>
      <c r="E465" s="1007"/>
      <c r="F465" s="1008"/>
      <c r="G465" s="1009"/>
      <c r="H465" s="1035"/>
      <c r="I465" s="1011">
        <f>SUM(I463+I457+I446)</f>
        <v>5424351.46</v>
      </c>
      <c r="J465" s="1011">
        <f>SUM(J463+J457+J446)</f>
        <v>2541102.3499999996</v>
      </c>
      <c r="K465" s="1011">
        <f>SUM(K463+K457+K446)</f>
        <v>3088402.43</v>
      </c>
      <c r="L465" s="1011">
        <f>SUM(L463+L457+L446)</f>
        <v>5629504.7800000003</v>
      </c>
      <c r="M465" s="1011">
        <f>SUM(M463+M457+M446)</f>
        <v>5636309</v>
      </c>
    </row>
    <row r="466" spans="1:13" ht="18" customHeight="1" x14ac:dyDescent="0.25">
      <c r="A466" s="973"/>
      <c r="B466" s="1012"/>
      <c r="C466" s="973"/>
      <c r="D466" s="973"/>
      <c r="E466" s="973"/>
      <c r="F466" s="973"/>
      <c r="G466" s="973"/>
      <c r="H466" s="1013"/>
      <c r="I466" s="1013"/>
      <c r="J466" s="1014"/>
      <c r="K466" s="1014"/>
      <c r="L466" s="1014"/>
      <c r="M466" s="1014"/>
    </row>
    <row r="467" spans="1:13" ht="18" customHeight="1" x14ac:dyDescent="0.25">
      <c r="A467" s="973"/>
      <c r="B467" s="1012"/>
      <c r="C467" s="973"/>
      <c r="D467" s="973"/>
      <c r="E467" s="973"/>
      <c r="F467" s="973"/>
      <c r="G467" s="973"/>
      <c r="H467" s="1013"/>
      <c r="I467" s="1013"/>
      <c r="J467" s="1014"/>
      <c r="K467" s="1014"/>
      <c r="L467" s="1014"/>
      <c r="M467" s="1014"/>
    </row>
    <row r="468" spans="1:13" ht="18" customHeight="1" x14ac:dyDescent="0.25">
      <c r="A468" s="973"/>
      <c r="B468" s="1012"/>
      <c r="C468" s="973"/>
      <c r="D468" s="973"/>
      <c r="E468" s="973"/>
      <c r="F468" s="973"/>
      <c r="G468" s="973"/>
      <c r="H468" s="1013"/>
      <c r="I468" s="1013"/>
      <c r="J468" s="1014"/>
      <c r="K468" s="1014"/>
      <c r="L468" s="1014"/>
      <c r="M468" s="1014"/>
    </row>
    <row r="469" spans="1:13" s="956" customFormat="1" ht="18" customHeight="1" x14ac:dyDescent="0.25">
      <c r="A469" s="953" t="s">
        <v>636</v>
      </c>
      <c r="B469" s="953"/>
      <c r="C469" s="954"/>
      <c r="D469" s="954"/>
      <c r="E469" s="954"/>
      <c r="F469" s="954"/>
      <c r="G469" s="954"/>
      <c r="H469" s="1017"/>
      <c r="I469" s="1017" t="s">
        <v>637</v>
      </c>
      <c r="J469" s="1014"/>
      <c r="K469" s="1018"/>
      <c r="L469" s="1018" t="s">
        <v>264</v>
      </c>
      <c r="M469" s="1014"/>
    </row>
    <row r="470" spans="1:13" s="956" customFormat="1" ht="18" customHeight="1" x14ac:dyDescent="0.25">
      <c r="A470" s="954"/>
      <c r="B470" s="953"/>
      <c r="C470" s="954"/>
      <c r="F470" s="953"/>
      <c r="G470" s="1103"/>
      <c r="H470" s="1103"/>
      <c r="I470" s="1099"/>
      <c r="J470" s="1099"/>
      <c r="K470" s="1014"/>
      <c r="L470" s="1019"/>
      <c r="M470" s="1014"/>
    </row>
    <row r="471" spans="1:13" s="956" customFormat="1" ht="18" customHeight="1" x14ac:dyDescent="0.25">
      <c r="A471" s="953"/>
      <c r="B471" s="953"/>
      <c r="C471" s="953"/>
      <c r="D471" s="1020"/>
      <c r="E471" s="1020"/>
      <c r="F471" s="1021" t="s">
        <v>91</v>
      </c>
      <c r="G471" s="1022"/>
      <c r="H471" s="1023"/>
      <c r="I471" s="1100" t="s">
        <v>17</v>
      </c>
      <c r="J471" s="1100"/>
      <c r="K471" s="1023"/>
      <c r="L471" s="1100" t="s">
        <v>1495</v>
      </c>
      <c r="M471" s="1100"/>
    </row>
    <row r="472" spans="1:13" s="956" customFormat="1" ht="18" customHeight="1" x14ac:dyDescent="0.25">
      <c r="A472" s="954"/>
      <c r="B472" s="953"/>
      <c r="C472" s="954"/>
      <c r="D472" s="954"/>
      <c r="E472" s="954"/>
      <c r="F472" s="1013" t="s">
        <v>1021</v>
      </c>
      <c r="G472" s="1025"/>
      <c r="H472" s="1025"/>
      <c r="I472" s="1101" t="s">
        <v>18</v>
      </c>
      <c r="J472" s="1101"/>
      <c r="K472" s="1026"/>
      <c r="L472" s="1102" t="s">
        <v>14</v>
      </c>
      <c r="M472" s="1102"/>
    </row>
    <row r="473" spans="1:13" s="956" customFormat="1" ht="18" customHeight="1" x14ac:dyDescent="0.25">
      <c r="A473" s="954"/>
      <c r="B473" s="953"/>
      <c r="C473" s="954"/>
      <c r="D473" s="954"/>
      <c r="E473" s="954"/>
      <c r="F473" s="954"/>
      <c r="G473" s="1025"/>
      <c r="H473" s="1013"/>
      <c r="I473" s="1013"/>
      <c r="K473" s="1027"/>
      <c r="L473" s="1027"/>
      <c r="M473" s="1014"/>
    </row>
    <row r="474" spans="1:13" s="956" customFormat="1" ht="18" customHeight="1" x14ac:dyDescent="0.25">
      <c r="A474" s="954"/>
      <c r="B474" s="953"/>
      <c r="C474" s="954"/>
      <c r="D474" s="954"/>
      <c r="E474" s="954"/>
      <c r="F474" s="954"/>
      <c r="G474" s="1025"/>
      <c r="H474" s="1013"/>
      <c r="I474" s="1013"/>
      <c r="K474" s="1027"/>
      <c r="L474" s="1027"/>
      <c r="M474" s="1014"/>
    </row>
    <row r="475" spans="1:13" s="956" customFormat="1" ht="18" customHeight="1" x14ac:dyDescent="0.25">
      <c r="A475" s="954"/>
      <c r="B475" s="953"/>
      <c r="C475" s="954"/>
      <c r="D475" s="954"/>
      <c r="E475" s="954"/>
      <c r="F475" s="954"/>
      <c r="G475" s="1025"/>
      <c r="H475" s="1013"/>
      <c r="I475" s="1013"/>
      <c r="K475" s="1027"/>
      <c r="L475" s="1027"/>
      <c r="M475" s="1014"/>
    </row>
    <row r="476" spans="1:13" s="956" customFormat="1" ht="18" customHeight="1" x14ac:dyDescent="0.25">
      <c r="A476" s="954"/>
      <c r="B476" s="953"/>
      <c r="C476" s="954"/>
      <c r="D476" s="954"/>
      <c r="E476" s="954"/>
      <c r="F476" s="954"/>
      <c r="G476" s="1025"/>
      <c r="H476" s="1013"/>
      <c r="I476" s="1013"/>
      <c r="K476" s="1027"/>
      <c r="L476" s="1027"/>
      <c r="M476" s="1014"/>
    </row>
    <row r="477" spans="1:13" s="956" customFormat="1" ht="18" customHeight="1" x14ac:dyDescent="0.25">
      <c r="A477" s="954"/>
      <c r="B477" s="953"/>
      <c r="C477" s="954"/>
      <c r="D477" s="954"/>
      <c r="E477" s="954"/>
      <c r="F477" s="954"/>
      <c r="G477" s="1025"/>
      <c r="H477" s="1013"/>
      <c r="I477" s="1013"/>
      <c r="K477" s="1027"/>
      <c r="L477" s="1027"/>
      <c r="M477" s="1014"/>
    </row>
    <row r="478" spans="1:13" s="956" customFormat="1" ht="18" customHeight="1" x14ac:dyDescent="0.25">
      <c r="A478" s="954"/>
      <c r="B478" s="953"/>
      <c r="C478" s="954"/>
      <c r="D478" s="954"/>
      <c r="E478" s="954"/>
      <c r="F478" s="954"/>
      <c r="G478" s="1025"/>
      <c r="H478" s="1013"/>
      <c r="I478" s="1013"/>
      <c r="K478" s="1027"/>
      <c r="L478" s="1027"/>
      <c r="M478" s="1014"/>
    </row>
    <row r="479" spans="1:13" s="956" customFormat="1" ht="18" customHeight="1" x14ac:dyDescent="0.25">
      <c r="A479" s="954"/>
      <c r="B479" s="953"/>
      <c r="C479" s="954"/>
      <c r="D479" s="954"/>
      <c r="E479" s="954"/>
      <c r="F479" s="954"/>
      <c r="G479" s="1025"/>
      <c r="H479" s="1013"/>
      <c r="I479" s="1013"/>
      <c r="K479" s="1027"/>
      <c r="L479" s="1027"/>
      <c r="M479" s="1014"/>
    </row>
    <row r="480" spans="1:13" s="956" customFormat="1" ht="18" customHeight="1" x14ac:dyDescent="0.25">
      <c r="A480" s="954"/>
      <c r="B480" s="953"/>
      <c r="C480" s="954"/>
      <c r="D480" s="954"/>
      <c r="E480" s="954"/>
      <c r="F480" s="954"/>
      <c r="G480" s="1025"/>
      <c r="H480" s="1013"/>
      <c r="I480" s="1013"/>
      <c r="K480" s="1027"/>
      <c r="L480" s="1027"/>
      <c r="M480" s="1014"/>
    </row>
    <row r="481" spans="1:13" s="1041" customFormat="1" ht="20.100000000000001" customHeight="1" x14ac:dyDescent="0.35">
      <c r="A481" s="1095" t="s">
        <v>1727</v>
      </c>
      <c r="B481" s="1095"/>
      <c r="C481" s="1095"/>
      <c r="D481" s="1095"/>
      <c r="E481" s="1095"/>
      <c r="F481" s="1095"/>
      <c r="G481" s="1095"/>
      <c r="H481" s="1095"/>
      <c r="I481" s="1095"/>
      <c r="J481" s="1095"/>
      <c r="K481" s="1095"/>
      <c r="L481" s="1095"/>
      <c r="M481" s="1095"/>
    </row>
    <row r="482" spans="1:13" s="956" customFormat="1" ht="18" customHeight="1" x14ac:dyDescent="0.25">
      <c r="A482" s="953"/>
      <c r="B482" s="954"/>
      <c r="C482" s="954"/>
      <c r="D482" s="954"/>
      <c r="E482" s="954"/>
      <c r="F482" s="954"/>
      <c r="G482" s="954"/>
      <c r="H482" s="954"/>
      <c r="I482" s="954"/>
      <c r="J482" s="954"/>
      <c r="K482" s="954"/>
      <c r="L482" s="954"/>
      <c r="M482" s="955"/>
    </row>
    <row r="483" spans="1:13" s="956" customFormat="1" ht="18" customHeight="1" x14ac:dyDescent="0.25">
      <c r="A483" s="1087" t="s">
        <v>21</v>
      </c>
      <c r="B483" s="1087"/>
      <c r="C483" s="1087"/>
      <c r="D483" s="1087"/>
      <c r="E483" s="1087"/>
      <c r="F483" s="1087"/>
      <c r="G483" s="1087"/>
      <c r="H483" s="1087"/>
      <c r="I483" s="1087"/>
      <c r="J483" s="1087"/>
      <c r="K483" s="1087"/>
      <c r="L483" s="1087"/>
      <c r="M483" s="1087"/>
    </row>
    <row r="484" spans="1:13" s="956" customFormat="1" ht="18" customHeight="1" x14ac:dyDescent="0.25">
      <c r="A484" s="1087" t="s">
        <v>364</v>
      </c>
      <c r="B484" s="1087"/>
      <c r="C484" s="1087"/>
      <c r="D484" s="1087"/>
      <c r="E484" s="1087"/>
      <c r="F484" s="1087"/>
      <c r="G484" s="1087"/>
      <c r="H484" s="1087"/>
      <c r="I484" s="1087"/>
      <c r="J484" s="1087"/>
      <c r="K484" s="1087"/>
      <c r="L484" s="1087"/>
      <c r="M484" s="1087"/>
    </row>
    <row r="485" spans="1:13" s="956" customFormat="1" ht="18" customHeight="1" x14ac:dyDescent="0.25">
      <c r="A485" s="957"/>
      <c r="B485" s="957"/>
      <c r="C485" s="957"/>
      <c r="D485" s="957"/>
      <c r="E485" s="957"/>
      <c r="F485" s="957"/>
      <c r="G485" s="957"/>
      <c r="H485" s="957"/>
      <c r="I485" s="957"/>
      <c r="J485" s="957"/>
      <c r="K485" s="957"/>
      <c r="L485" s="957"/>
      <c r="M485" s="957"/>
    </row>
    <row r="486" spans="1:13" s="956" customFormat="1" ht="18" customHeight="1" x14ac:dyDescent="0.25">
      <c r="A486" s="958" t="s">
        <v>1731</v>
      </c>
      <c r="B486" s="957"/>
      <c r="C486" s="959"/>
      <c r="D486" s="957"/>
      <c r="E486" s="957"/>
      <c r="F486" s="957"/>
      <c r="G486" s="957"/>
      <c r="H486" s="957"/>
      <c r="I486" s="957"/>
      <c r="J486" s="957"/>
      <c r="K486" s="957"/>
      <c r="L486" s="957"/>
      <c r="M486" s="957"/>
    </row>
    <row r="487" spans="1:13" ht="18" customHeight="1" thickBot="1" x14ac:dyDescent="0.25">
      <c r="A487" s="1088"/>
      <c r="B487" s="1088"/>
      <c r="C487" s="1088"/>
      <c r="D487" s="1088"/>
      <c r="E487" s="1088"/>
      <c r="F487" s="1088"/>
      <c r="G487" s="1088"/>
      <c r="H487" s="1088"/>
      <c r="I487" s="1088"/>
      <c r="J487" s="1088"/>
      <c r="K487" s="1088"/>
      <c r="L487" s="1088"/>
      <c r="M487" s="1088"/>
    </row>
    <row r="488" spans="1:13" ht="18" customHeight="1" x14ac:dyDescent="0.2">
      <c r="A488" s="961"/>
      <c r="B488" s="962"/>
      <c r="C488" s="962"/>
      <c r="D488" s="962"/>
      <c r="E488" s="962"/>
      <c r="F488" s="963"/>
      <c r="G488" s="964"/>
      <c r="H488" s="965"/>
      <c r="I488" s="965"/>
      <c r="J488" s="1089" t="s">
        <v>633</v>
      </c>
      <c r="K488" s="1090"/>
      <c r="L488" s="1091"/>
      <c r="M488" s="966"/>
    </row>
    <row r="489" spans="1:13" ht="18" customHeight="1" x14ac:dyDescent="0.2">
      <c r="A489" s="1092"/>
      <c r="B489" s="1093"/>
      <c r="C489" s="1093"/>
      <c r="D489" s="1093"/>
      <c r="E489" s="1093"/>
      <c r="F489" s="1094"/>
      <c r="G489" s="967"/>
      <c r="H489" s="968"/>
      <c r="I489" s="968" t="s">
        <v>6</v>
      </c>
      <c r="J489" s="968" t="s">
        <v>580</v>
      </c>
      <c r="K489" s="968" t="s">
        <v>581</v>
      </c>
      <c r="L489" s="968"/>
      <c r="M489" s="969" t="s">
        <v>7</v>
      </c>
    </row>
    <row r="490" spans="1:13" ht="18" customHeight="1" x14ac:dyDescent="0.25">
      <c r="A490" s="1092" t="s">
        <v>22</v>
      </c>
      <c r="B490" s="1093"/>
      <c r="C490" s="1093"/>
      <c r="D490" s="1093"/>
      <c r="E490" s="1093"/>
      <c r="F490" s="1094"/>
      <c r="G490" s="970"/>
      <c r="H490" s="971" t="s">
        <v>634</v>
      </c>
      <c r="I490" s="968" t="s">
        <v>579</v>
      </c>
      <c r="J490" s="968" t="s">
        <v>579</v>
      </c>
      <c r="K490" s="968" t="s">
        <v>582</v>
      </c>
      <c r="L490" s="968" t="s">
        <v>15</v>
      </c>
      <c r="M490" s="969" t="s">
        <v>584</v>
      </c>
    </row>
    <row r="491" spans="1:13" ht="18" customHeight="1" x14ac:dyDescent="0.2">
      <c r="A491" s="972"/>
      <c r="B491" s="973"/>
      <c r="C491" s="973"/>
      <c r="D491" s="973"/>
      <c r="E491" s="973"/>
      <c r="F491" s="974"/>
      <c r="G491" s="970"/>
      <c r="H491" s="968"/>
      <c r="I491" s="968">
        <v>2019</v>
      </c>
      <c r="J491" s="968">
        <v>2020</v>
      </c>
      <c r="K491" s="968">
        <v>2020</v>
      </c>
      <c r="L491" s="968">
        <v>2020</v>
      </c>
      <c r="M491" s="969">
        <v>2021</v>
      </c>
    </row>
    <row r="492" spans="1:13" ht="18" customHeight="1" thickBot="1" x14ac:dyDescent="0.25">
      <c r="A492" s="1096"/>
      <c r="B492" s="1097"/>
      <c r="C492" s="1097"/>
      <c r="D492" s="1097"/>
      <c r="E492" s="1097"/>
      <c r="F492" s="1098"/>
      <c r="G492" s="975"/>
      <c r="H492" s="976"/>
      <c r="I492" s="976"/>
      <c r="J492" s="976"/>
      <c r="K492" s="976"/>
      <c r="L492" s="976"/>
      <c r="M492" s="977"/>
    </row>
    <row r="493" spans="1:13" ht="18" customHeight="1" x14ac:dyDescent="0.25">
      <c r="A493" s="978"/>
      <c r="B493" s="979" t="s">
        <v>372</v>
      </c>
      <c r="C493" s="980"/>
      <c r="D493" s="979"/>
      <c r="E493" s="979"/>
      <c r="F493" s="981"/>
      <c r="G493" s="982"/>
      <c r="H493" s="1028"/>
      <c r="I493" s="1029"/>
      <c r="J493" s="1030"/>
      <c r="K493" s="1030"/>
      <c r="L493" s="1030"/>
      <c r="M493" s="1030"/>
    </row>
    <row r="494" spans="1:13" ht="18" customHeight="1" x14ac:dyDescent="0.25">
      <c r="A494" s="986"/>
      <c r="B494" s="987"/>
      <c r="C494" s="987" t="s">
        <v>532</v>
      </c>
      <c r="D494" s="987"/>
      <c r="E494" s="987"/>
      <c r="F494" s="988"/>
      <c r="G494" s="989"/>
      <c r="H494" s="1031"/>
      <c r="I494" s="1032"/>
      <c r="J494" s="1033"/>
      <c r="K494" s="1033"/>
      <c r="L494" s="1033"/>
      <c r="M494" s="1033"/>
    </row>
    <row r="495" spans="1:13" ht="18" customHeight="1" x14ac:dyDescent="0.25">
      <c r="A495" s="986"/>
      <c r="B495" s="987"/>
      <c r="C495" s="987"/>
      <c r="D495" s="987" t="s">
        <v>533</v>
      </c>
      <c r="E495" s="987"/>
      <c r="F495" s="988"/>
      <c r="G495" s="989" t="s">
        <v>603</v>
      </c>
      <c r="H495" s="993" t="s">
        <v>698</v>
      </c>
      <c r="I495" s="994">
        <v>1498888</v>
      </c>
      <c r="J495" s="995">
        <v>803216</v>
      </c>
      <c r="K495" s="995">
        <f>1753962-J495</f>
        <v>950746</v>
      </c>
      <c r="L495" s="995">
        <f>SUM(K495+J495)</f>
        <v>1753962</v>
      </c>
      <c r="M495" s="995">
        <v>1814037</v>
      </c>
    </row>
    <row r="496" spans="1:13" ht="18" customHeight="1" x14ac:dyDescent="0.25">
      <c r="A496" s="986"/>
      <c r="B496" s="987"/>
      <c r="C496" s="987" t="s">
        <v>534</v>
      </c>
      <c r="D496" s="987"/>
      <c r="E496" s="987"/>
      <c r="F496" s="988"/>
      <c r="G496" s="989"/>
      <c r="H496" s="1031"/>
      <c r="I496" s="994"/>
      <c r="J496" s="995"/>
      <c r="K496" s="995"/>
      <c r="L496" s="995"/>
      <c r="M496" s="995"/>
    </row>
    <row r="497" spans="1:13" ht="18" customHeight="1" x14ac:dyDescent="0.25">
      <c r="A497" s="986"/>
      <c r="B497" s="987"/>
      <c r="C497" s="987"/>
      <c r="D497" s="987" t="s">
        <v>535</v>
      </c>
      <c r="E497" s="987"/>
      <c r="F497" s="988"/>
      <c r="G497" s="989" t="s">
        <v>604</v>
      </c>
      <c r="H497" s="993" t="s">
        <v>699</v>
      </c>
      <c r="I497" s="994">
        <v>120000</v>
      </c>
      <c r="J497" s="995">
        <v>60000</v>
      </c>
      <c r="K497" s="995">
        <f>144000-J497</f>
        <v>84000</v>
      </c>
      <c r="L497" s="995">
        <f t="shared" ref="L497:L512" si="15">SUM(K497+J497)</f>
        <v>144000</v>
      </c>
      <c r="M497" s="995">
        <v>144000</v>
      </c>
    </row>
    <row r="498" spans="1:13" ht="18" customHeight="1" x14ac:dyDescent="0.25">
      <c r="A498" s="986"/>
      <c r="B498" s="987"/>
      <c r="C498" s="987"/>
      <c r="D498" s="987" t="s">
        <v>546</v>
      </c>
      <c r="E498" s="987"/>
      <c r="F498" s="988"/>
      <c r="G498" s="989" t="s">
        <v>605</v>
      </c>
      <c r="H498" s="993" t="s">
        <v>700</v>
      </c>
      <c r="I498" s="994">
        <v>76500</v>
      </c>
      <c r="J498" s="995">
        <v>38250</v>
      </c>
      <c r="K498" s="995">
        <f>76500-J498</f>
        <v>38250</v>
      </c>
      <c r="L498" s="995">
        <f t="shared" si="15"/>
        <v>76500</v>
      </c>
      <c r="M498" s="995">
        <v>76500</v>
      </c>
    </row>
    <row r="499" spans="1:13" ht="18" customHeight="1" x14ac:dyDescent="0.25">
      <c r="A499" s="986"/>
      <c r="B499" s="987"/>
      <c r="C499" s="987"/>
      <c r="D499" s="987" t="s">
        <v>545</v>
      </c>
      <c r="E499" s="987"/>
      <c r="F499" s="988"/>
      <c r="G499" s="989" t="s">
        <v>606</v>
      </c>
      <c r="H499" s="993" t="s">
        <v>701</v>
      </c>
      <c r="I499" s="994">
        <v>76500</v>
      </c>
      <c r="J499" s="995">
        <v>38250</v>
      </c>
      <c r="K499" s="995">
        <f>76500-J499</f>
        <v>38250</v>
      </c>
      <c r="L499" s="995">
        <f t="shared" si="15"/>
        <v>76500</v>
      </c>
      <c r="M499" s="995">
        <v>76500</v>
      </c>
    </row>
    <row r="500" spans="1:13" ht="18" customHeight="1" x14ac:dyDescent="0.25">
      <c r="A500" s="986"/>
      <c r="B500" s="987"/>
      <c r="C500" s="987"/>
      <c r="D500" s="987" t="s">
        <v>547</v>
      </c>
      <c r="E500" s="987"/>
      <c r="F500" s="988"/>
      <c r="G500" s="989" t="s">
        <v>607</v>
      </c>
      <c r="H500" s="993" t="s">
        <v>702</v>
      </c>
      <c r="I500" s="994">
        <v>30000</v>
      </c>
      <c r="J500" s="995">
        <v>30000</v>
      </c>
      <c r="K500" s="995">
        <f>36000-J500</f>
        <v>6000</v>
      </c>
      <c r="L500" s="995">
        <f t="shared" si="15"/>
        <v>36000</v>
      </c>
      <c r="M500" s="995">
        <v>36000</v>
      </c>
    </row>
    <row r="501" spans="1:13" ht="18" customHeight="1" x14ac:dyDescent="0.25">
      <c r="A501" s="986"/>
      <c r="B501" s="987"/>
      <c r="C501" s="987"/>
      <c r="D501" s="987" t="s">
        <v>696</v>
      </c>
      <c r="E501" s="987"/>
      <c r="F501" s="988"/>
      <c r="G501" s="989" t="s">
        <v>609</v>
      </c>
      <c r="H501" s="993" t="s">
        <v>703</v>
      </c>
      <c r="I501" s="994">
        <v>25000</v>
      </c>
      <c r="J501" s="995">
        <v>0</v>
      </c>
      <c r="K501" s="995">
        <f>30000-J501</f>
        <v>30000</v>
      </c>
      <c r="L501" s="995">
        <f t="shared" si="15"/>
        <v>30000</v>
      </c>
      <c r="M501" s="995">
        <v>30000</v>
      </c>
    </row>
    <row r="502" spans="1:13" ht="18" customHeight="1" x14ac:dyDescent="0.25">
      <c r="A502" s="986"/>
      <c r="B502" s="987"/>
      <c r="C502" s="987"/>
      <c r="D502" s="987" t="s">
        <v>549</v>
      </c>
      <c r="E502" s="987"/>
      <c r="F502" s="988"/>
      <c r="G502" s="989" t="s">
        <v>440</v>
      </c>
      <c r="H502" s="993" t="s">
        <v>704</v>
      </c>
      <c r="I502" s="994">
        <v>5000</v>
      </c>
      <c r="J502" s="995">
        <v>5000</v>
      </c>
      <c r="K502" s="995">
        <f>5000-J502</f>
        <v>0</v>
      </c>
      <c r="L502" s="995">
        <f t="shared" si="15"/>
        <v>5000</v>
      </c>
      <c r="M502" s="995">
        <v>0</v>
      </c>
    </row>
    <row r="503" spans="1:13" ht="18" customHeight="1" x14ac:dyDescent="0.25">
      <c r="A503" s="986"/>
      <c r="B503" s="987"/>
      <c r="C503" s="987"/>
      <c r="D503" s="987" t="s">
        <v>1562</v>
      </c>
      <c r="E503" s="987"/>
      <c r="F503" s="988"/>
      <c r="G503" s="989"/>
      <c r="H503" s="993" t="s">
        <v>704</v>
      </c>
      <c r="I503" s="994">
        <v>58470.62</v>
      </c>
      <c r="J503" s="995">
        <v>64095</v>
      </c>
      <c r="K503" s="995">
        <f>64095-J503</f>
        <v>0</v>
      </c>
      <c r="L503" s="995">
        <f t="shared" si="15"/>
        <v>64095</v>
      </c>
      <c r="M503" s="995">
        <v>0</v>
      </c>
    </row>
    <row r="504" spans="1:13" ht="18" customHeight="1" x14ac:dyDescent="0.25">
      <c r="A504" s="986"/>
      <c r="B504" s="987"/>
      <c r="C504" s="987"/>
      <c r="D504" s="987" t="s">
        <v>552</v>
      </c>
      <c r="E504" s="987"/>
      <c r="F504" s="988"/>
      <c r="G504" s="989" t="s">
        <v>612</v>
      </c>
      <c r="H504" s="993" t="s">
        <v>705</v>
      </c>
      <c r="I504" s="994">
        <v>25000</v>
      </c>
      <c r="J504" s="995">
        <v>0</v>
      </c>
      <c r="K504" s="995">
        <f>30000-J504</f>
        <v>30000</v>
      </c>
      <c r="L504" s="995">
        <f t="shared" si="15"/>
        <v>30000</v>
      </c>
      <c r="M504" s="995">
        <v>30000</v>
      </c>
    </row>
    <row r="505" spans="1:13" ht="18" customHeight="1" x14ac:dyDescent="0.25">
      <c r="A505" s="986"/>
      <c r="B505" s="987"/>
      <c r="C505" s="987"/>
      <c r="D505" s="987" t="s">
        <v>816</v>
      </c>
      <c r="E505" s="987"/>
      <c r="F505" s="987"/>
      <c r="G505" s="997" t="s">
        <v>440</v>
      </c>
      <c r="H505" s="993" t="s">
        <v>704</v>
      </c>
      <c r="I505" s="994">
        <v>123266</v>
      </c>
      <c r="J505" s="995">
        <v>134098</v>
      </c>
      <c r="K505" s="995">
        <f>146110-J505</f>
        <v>12012</v>
      </c>
      <c r="L505" s="995">
        <f t="shared" si="15"/>
        <v>146110</v>
      </c>
      <c r="M505" s="995">
        <v>150854</v>
      </c>
    </row>
    <row r="506" spans="1:13" ht="18" customHeight="1" x14ac:dyDescent="0.25">
      <c r="A506" s="986"/>
      <c r="B506" s="987"/>
      <c r="C506" s="987"/>
      <c r="D506" s="987" t="s">
        <v>553</v>
      </c>
      <c r="E506" s="987"/>
      <c r="F506" s="988"/>
      <c r="G506" s="989" t="s">
        <v>613</v>
      </c>
      <c r="H506" s="993" t="s">
        <v>706</v>
      </c>
      <c r="I506" s="994">
        <v>128190</v>
      </c>
      <c r="J506" s="995">
        <v>0</v>
      </c>
      <c r="K506" s="995">
        <f>146384-J506</f>
        <v>146384</v>
      </c>
      <c r="L506" s="995">
        <f t="shared" si="15"/>
        <v>146384</v>
      </c>
      <c r="M506" s="995">
        <v>152117</v>
      </c>
    </row>
    <row r="507" spans="1:13" ht="18" customHeight="1" x14ac:dyDescent="0.25">
      <c r="A507" s="986"/>
      <c r="B507" s="987"/>
      <c r="C507" s="987"/>
      <c r="D507" s="987" t="s">
        <v>669</v>
      </c>
      <c r="E507" s="987"/>
      <c r="F507" s="988"/>
      <c r="G507" s="989" t="s">
        <v>614</v>
      </c>
      <c r="H507" s="993" t="s">
        <v>707</v>
      </c>
      <c r="I507" s="994">
        <f>160068+19207.68</f>
        <v>179275.68</v>
      </c>
      <c r="J507" s="995">
        <v>73959.600000000006</v>
      </c>
      <c r="K507" s="995">
        <f>211500-J507</f>
        <v>137540.4</v>
      </c>
      <c r="L507" s="995">
        <f t="shared" si="15"/>
        <v>211500</v>
      </c>
      <c r="M507" s="995">
        <v>219000</v>
      </c>
    </row>
    <row r="508" spans="1:13" ht="18" customHeight="1" x14ac:dyDescent="0.25">
      <c r="A508" s="986"/>
      <c r="B508" s="987"/>
      <c r="C508" s="987"/>
      <c r="D508" s="987" t="s">
        <v>554</v>
      </c>
      <c r="E508" s="987"/>
      <c r="F508" s="988"/>
      <c r="G508" s="989" t="s">
        <v>615</v>
      </c>
      <c r="H508" s="993" t="s">
        <v>708</v>
      </c>
      <c r="I508" s="994">
        <v>6000</v>
      </c>
      <c r="J508" s="995">
        <v>2500</v>
      </c>
      <c r="K508" s="995">
        <f>7200-J508</f>
        <v>4700</v>
      </c>
      <c r="L508" s="995">
        <f t="shared" si="15"/>
        <v>7200</v>
      </c>
      <c r="M508" s="995">
        <v>10800</v>
      </c>
    </row>
    <row r="509" spans="1:13" ht="18" customHeight="1" x14ac:dyDescent="0.25">
      <c r="A509" s="986"/>
      <c r="B509" s="987"/>
      <c r="C509" s="987"/>
      <c r="D509" s="987" t="s">
        <v>555</v>
      </c>
      <c r="E509" s="987"/>
      <c r="F509" s="988"/>
      <c r="G509" s="989" t="s">
        <v>616</v>
      </c>
      <c r="H509" s="993" t="s">
        <v>709</v>
      </c>
      <c r="I509" s="994">
        <v>14671.25</v>
      </c>
      <c r="J509" s="995">
        <v>8595</v>
      </c>
      <c r="K509" s="995">
        <f>27000-J509</f>
        <v>18405</v>
      </c>
      <c r="L509" s="995">
        <f t="shared" si="15"/>
        <v>27000</v>
      </c>
      <c r="M509" s="995">
        <v>32000</v>
      </c>
    </row>
    <row r="510" spans="1:13" ht="18" customHeight="1" x14ac:dyDescent="0.25">
      <c r="A510" s="986"/>
      <c r="B510" s="987"/>
      <c r="C510" s="987"/>
      <c r="D510" s="987" t="s">
        <v>665</v>
      </c>
      <c r="E510" s="987"/>
      <c r="F510" s="988"/>
      <c r="G510" s="989" t="s">
        <v>617</v>
      </c>
      <c r="H510" s="993" t="s">
        <v>710</v>
      </c>
      <c r="I510" s="994">
        <f>5500+500</f>
        <v>6000</v>
      </c>
      <c r="J510" s="995">
        <v>2500</v>
      </c>
      <c r="K510" s="995">
        <f>7200-J510</f>
        <v>4700</v>
      </c>
      <c r="L510" s="995">
        <f t="shared" si="15"/>
        <v>7200</v>
      </c>
      <c r="M510" s="995">
        <v>7200</v>
      </c>
    </row>
    <row r="511" spans="1:13" ht="18" customHeight="1" x14ac:dyDescent="0.25">
      <c r="A511" s="986"/>
      <c r="B511" s="987"/>
      <c r="C511" s="987"/>
      <c r="D511" s="987" t="s">
        <v>557</v>
      </c>
      <c r="E511" s="987"/>
      <c r="F511" s="988"/>
      <c r="G511" s="989" t="s">
        <v>403</v>
      </c>
      <c r="H511" s="993" t="s">
        <v>722</v>
      </c>
      <c r="I511" s="994">
        <v>0</v>
      </c>
      <c r="J511" s="995">
        <v>78134.77</v>
      </c>
      <c r="K511" s="995">
        <f>78134.77-J511</f>
        <v>0</v>
      </c>
      <c r="L511" s="995">
        <f t="shared" si="15"/>
        <v>78134.77</v>
      </c>
      <c r="M511" s="995">
        <v>0</v>
      </c>
    </row>
    <row r="512" spans="1:13" ht="18" customHeight="1" x14ac:dyDescent="0.25">
      <c r="A512" s="986"/>
      <c r="B512" s="987"/>
      <c r="C512" s="987"/>
      <c r="D512" s="987" t="s">
        <v>1563</v>
      </c>
      <c r="E512" s="987"/>
      <c r="F512" s="988"/>
      <c r="G512" s="989"/>
      <c r="H512" s="993" t="s">
        <v>722</v>
      </c>
      <c r="I512" s="994">
        <v>50000</v>
      </c>
      <c r="J512" s="995">
        <v>0</v>
      </c>
      <c r="K512" s="995">
        <f>0-J512</f>
        <v>0</v>
      </c>
      <c r="L512" s="995">
        <f t="shared" si="15"/>
        <v>0</v>
      </c>
      <c r="M512" s="995">
        <v>0</v>
      </c>
    </row>
    <row r="513" spans="1:13" ht="18" customHeight="1" x14ac:dyDescent="0.25">
      <c r="A513" s="998"/>
      <c r="B513" s="999"/>
      <c r="C513" s="999"/>
      <c r="D513" s="999" t="s">
        <v>377</v>
      </c>
      <c r="E513" s="999"/>
      <c r="F513" s="1000"/>
      <c r="G513" s="1001"/>
      <c r="H513" s="1034"/>
      <c r="I513" s="1002">
        <f>SUM(I495:I512)</f>
        <v>2422761.5500000003</v>
      </c>
      <c r="J513" s="1002">
        <f>SUM(J495:J512)</f>
        <v>1338598.3700000001</v>
      </c>
      <c r="K513" s="1002">
        <f>SUM(K495:K512)</f>
        <v>1500987.4</v>
      </c>
      <c r="L513" s="1002">
        <f>SUM(L495:L512)</f>
        <v>2839585.77</v>
      </c>
      <c r="M513" s="1002">
        <f>SUM(M495:M512)</f>
        <v>2779008</v>
      </c>
    </row>
    <row r="514" spans="1:13" ht="18" customHeight="1" x14ac:dyDescent="0.25">
      <c r="A514" s="986"/>
      <c r="B514" s="987" t="s">
        <v>558</v>
      </c>
      <c r="C514" s="987"/>
      <c r="D514" s="987"/>
      <c r="E514" s="987"/>
      <c r="F514" s="988"/>
      <c r="G514" s="989"/>
      <c r="H514" s="1031"/>
      <c r="I514" s="994"/>
      <c r="J514" s="995"/>
      <c r="K514" s="995"/>
      <c r="L514" s="995"/>
      <c r="M514" s="995"/>
    </row>
    <row r="515" spans="1:13" ht="18" customHeight="1" x14ac:dyDescent="0.25">
      <c r="A515" s="986"/>
      <c r="B515" s="987"/>
      <c r="C515" s="987"/>
      <c r="D515" s="987" t="s">
        <v>559</v>
      </c>
      <c r="E515" s="987"/>
      <c r="F515" s="988"/>
      <c r="G515" s="989" t="s">
        <v>390</v>
      </c>
      <c r="H515" s="993" t="s">
        <v>712</v>
      </c>
      <c r="I515" s="994">
        <v>92094</v>
      </c>
      <c r="J515" s="995">
        <v>9564</v>
      </c>
      <c r="K515" s="995">
        <f>140000-J515</f>
        <v>130436</v>
      </c>
      <c r="L515" s="995">
        <f t="shared" ref="L515:L521" si="16">SUM(K515+J515)</f>
        <v>140000</v>
      </c>
      <c r="M515" s="995">
        <f>150000-12000</f>
        <v>138000</v>
      </c>
    </row>
    <row r="516" spans="1:13" ht="18" customHeight="1" x14ac:dyDescent="0.25">
      <c r="A516" s="986"/>
      <c r="B516" s="987"/>
      <c r="C516" s="987"/>
      <c r="D516" s="987" t="s">
        <v>436</v>
      </c>
      <c r="E516" s="987"/>
      <c r="F516" s="988"/>
      <c r="G516" s="989" t="s">
        <v>391</v>
      </c>
      <c r="H516" s="993" t="s">
        <v>713</v>
      </c>
      <c r="I516" s="994">
        <v>80000</v>
      </c>
      <c r="J516" s="995">
        <v>0</v>
      </c>
      <c r="K516" s="995">
        <f>100000-J516</f>
        <v>100000</v>
      </c>
      <c r="L516" s="995">
        <f t="shared" si="16"/>
        <v>100000</v>
      </c>
      <c r="M516" s="995">
        <v>100000</v>
      </c>
    </row>
    <row r="517" spans="1:13" ht="18" customHeight="1" x14ac:dyDescent="0.25">
      <c r="A517" s="986"/>
      <c r="B517" s="987"/>
      <c r="C517" s="987"/>
      <c r="D517" s="987" t="s">
        <v>384</v>
      </c>
      <c r="E517" s="987"/>
      <c r="F517" s="988"/>
      <c r="G517" s="989" t="s">
        <v>393</v>
      </c>
      <c r="H517" s="993" t="s">
        <v>714</v>
      </c>
      <c r="I517" s="994">
        <v>78058.149999999994</v>
      </c>
      <c r="J517" s="995">
        <v>21581</v>
      </c>
      <c r="K517" s="995">
        <f>130000-J517</f>
        <v>108419</v>
      </c>
      <c r="L517" s="995">
        <f t="shared" si="16"/>
        <v>130000</v>
      </c>
      <c r="M517" s="995">
        <f>130000-20000</f>
        <v>110000</v>
      </c>
    </row>
    <row r="518" spans="1:13" ht="18" customHeight="1" x14ac:dyDescent="0.25">
      <c r="A518" s="986"/>
      <c r="B518" s="987"/>
      <c r="C518" s="987"/>
      <c r="D518" s="987" t="s">
        <v>563</v>
      </c>
      <c r="E518" s="987"/>
      <c r="F518" s="988"/>
      <c r="G518" s="989" t="s">
        <v>622</v>
      </c>
      <c r="H518" s="993" t="s">
        <v>715</v>
      </c>
      <c r="I518" s="994">
        <v>0</v>
      </c>
      <c r="J518" s="995">
        <v>0</v>
      </c>
      <c r="K518" s="995">
        <f>500-J518</f>
        <v>500</v>
      </c>
      <c r="L518" s="995">
        <f t="shared" si="16"/>
        <v>500</v>
      </c>
      <c r="M518" s="995">
        <v>500</v>
      </c>
    </row>
    <row r="519" spans="1:13" ht="18" customHeight="1" x14ac:dyDescent="0.25">
      <c r="A519" s="986"/>
      <c r="B519" s="987"/>
      <c r="C519" s="987"/>
      <c r="D519" s="987" t="s">
        <v>565</v>
      </c>
      <c r="E519" s="987"/>
      <c r="F519" s="988"/>
      <c r="G519" s="989" t="s">
        <v>394</v>
      </c>
      <c r="H519" s="993" t="s">
        <v>716</v>
      </c>
      <c r="I519" s="994">
        <v>24000</v>
      </c>
      <c r="J519" s="995">
        <v>12000</v>
      </c>
      <c r="K519" s="995">
        <f>24000-J519</f>
        <v>12000</v>
      </c>
      <c r="L519" s="995">
        <f t="shared" si="16"/>
        <v>24000</v>
      </c>
      <c r="M519" s="995">
        <f>24000+12000</f>
        <v>36000</v>
      </c>
    </row>
    <row r="520" spans="1:13" ht="18" customHeight="1" x14ac:dyDescent="0.25">
      <c r="A520" s="986"/>
      <c r="B520" s="987"/>
      <c r="C520" s="987"/>
      <c r="D520" s="987" t="s">
        <v>945</v>
      </c>
      <c r="E520" s="987"/>
      <c r="F520" s="988"/>
      <c r="G520" s="989" t="s">
        <v>395</v>
      </c>
      <c r="H520" s="993" t="s">
        <v>717</v>
      </c>
      <c r="I520" s="994">
        <v>650</v>
      </c>
      <c r="J520" s="995">
        <v>700</v>
      </c>
      <c r="K520" s="995">
        <f>25000-J520</f>
        <v>24300</v>
      </c>
      <c r="L520" s="995">
        <f t="shared" si="16"/>
        <v>25000</v>
      </c>
      <c r="M520" s="995">
        <v>25000</v>
      </c>
    </row>
    <row r="521" spans="1:13" ht="18" customHeight="1" x14ac:dyDescent="0.25">
      <c r="A521" s="986"/>
      <c r="B521" s="987"/>
      <c r="C521" s="987"/>
      <c r="D521" s="987" t="s">
        <v>572</v>
      </c>
      <c r="E521" s="987"/>
      <c r="F521" s="988"/>
      <c r="G521" s="989" t="s">
        <v>396</v>
      </c>
      <c r="H521" s="993" t="s">
        <v>718</v>
      </c>
      <c r="I521" s="994">
        <v>126000</v>
      </c>
      <c r="J521" s="995">
        <v>0</v>
      </c>
      <c r="K521" s="995">
        <f>22000-J521</f>
        <v>22000</v>
      </c>
      <c r="L521" s="995">
        <f t="shared" si="16"/>
        <v>22000</v>
      </c>
      <c r="M521" s="995">
        <v>22000</v>
      </c>
    </row>
    <row r="522" spans="1:13" ht="18" customHeight="1" x14ac:dyDescent="0.25">
      <c r="A522" s="998"/>
      <c r="B522" s="999"/>
      <c r="C522" s="999"/>
      <c r="D522" s="999" t="s">
        <v>763</v>
      </c>
      <c r="E522" s="999"/>
      <c r="F522" s="1000"/>
      <c r="G522" s="1001"/>
      <c r="H522" s="1034"/>
      <c r="I522" s="1002">
        <f>SUM(I515:I521)</f>
        <v>400802.15</v>
      </c>
      <c r="J522" s="1002">
        <f>SUM(J515:J521)</f>
        <v>43845</v>
      </c>
      <c r="K522" s="1002">
        <f>SUM(K515:K521)</f>
        <v>397655</v>
      </c>
      <c r="L522" s="1002">
        <f>SUM(L515:L521)</f>
        <v>441500</v>
      </c>
      <c r="M522" s="1002">
        <f>SUM(M515:M521)</f>
        <v>431500</v>
      </c>
    </row>
    <row r="523" spans="1:13" ht="18" customHeight="1" x14ac:dyDescent="0.25">
      <c r="A523" s="986"/>
      <c r="B523" s="987" t="s">
        <v>573</v>
      </c>
      <c r="C523" s="987"/>
      <c r="D523" s="987"/>
      <c r="E523" s="987"/>
      <c r="F523" s="988"/>
      <c r="G523" s="989"/>
      <c r="H523" s="1031"/>
      <c r="I523" s="994"/>
      <c r="J523" s="995"/>
      <c r="K523" s="995"/>
      <c r="L523" s="995"/>
      <c r="M523" s="995"/>
    </row>
    <row r="524" spans="1:13" ht="18" customHeight="1" x14ac:dyDescent="0.25">
      <c r="A524" s="986"/>
      <c r="B524" s="987"/>
      <c r="C524" s="987"/>
      <c r="D524" s="987" t="s">
        <v>697</v>
      </c>
      <c r="E524" s="987"/>
      <c r="F524" s="988"/>
      <c r="G524" s="989" t="s">
        <v>859</v>
      </c>
      <c r="H524" s="993" t="s">
        <v>860</v>
      </c>
      <c r="I524" s="994">
        <v>65000</v>
      </c>
      <c r="J524" s="995">
        <v>0</v>
      </c>
      <c r="K524" s="995">
        <f>0-J524</f>
        <v>0</v>
      </c>
      <c r="L524" s="995">
        <f>K524+J524</f>
        <v>0</v>
      </c>
      <c r="M524" s="995">
        <v>40000</v>
      </c>
    </row>
    <row r="525" spans="1:13" ht="18" customHeight="1" x14ac:dyDescent="0.25">
      <c r="A525" s="986"/>
      <c r="B525" s="987"/>
      <c r="C525" s="987"/>
      <c r="D525" s="987" t="s">
        <v>858</v>
      </c>
      <c r="E525" s="987"/>
      <c r="F525" s="988"/>
      <c r="G525" s="989" t="s">
        <v>861</v>
      </c>
      <c r="H525" s="993" t="s">
        <v>1640</v>
      </c>
      <c r="I525" s="994">
        <v>0</v>
      </c>
      <c r="J525" s="995">
        <v>0</v>
      </c>
      <c r="K525" s="995">
        <f>65000-J525</f>
        <v>65000</v>
      </c>
      <c r="L525" s="995">
        <f>K525+J525</f>
        <v>65000</v>
      </c>
      <c r="M525" s="995">
        <v>60000</v>
      </c>
    </row>
    <row r="526" spans="1:13" ht="18" customHeight="1" x14ac:dyDescent="0.25">
      <c r="A526" s="986"/>
      <c r="B526" s="987"/>
      <c r="C526" s="987"/>
      <c r="D526" s="987" t="s">
        <v>868</v>
      </c>
      <c r="E526" s="987"/>
      <c r="F526" s="988"/>
      <c r="G526" s="989"/>
      <c r="H526" s="993" t="s">
        <v>869</v>
      </c>
      <c r="I526" s="994">
        <v>0</v>
      </c>
      <c r="J526" s="995">
        <v>0</v>
      </c>
      <c r="K526" s="995">
        <v>0</v>
      </c>
      <c r="L526" s="995">
        <f>K526+J526</f>
        <v>0</v>
      </c>
      <c r="M526" s="995">
        <f>20000</f>
        <v>20000</v>
      </c>
    </row>
    <row r="527" spans="1:13" ht="18" customHeight="1" x14ac:dyDescent="0.25">
      <c r="A527" s="986"/>
      <c r="B527" s="987"/>
      <c r="C527" s="987"/>
      <c r="D527" s="987" t="s">
        <v>862</v>
      </c>
      <c r="E527" s="987"/>
      <c r="F527" s="988"/>
      <c r="G527" s="989" t="s">
        <v>863</v>
      </c>
      <c r="H527" s="993" t="s">
        <v>864</v>
      </c>
      <c r="I527" s="994">
        <v>0</v>
      </c>
      <c r="J527" s="995">
        <v>0</v>
      </c>
      <c r="K527" s="995">
        <f>25000-J527</f>
        <v>25000</v>
      </c>
      <c r="L527" s="995">
        <f>K527+J527</f>
        <v>25000</v>
      </c>
      <c r="M527" s="995">
        <v>15000</v>
      </c>
    </row>
    <row r="528" spans="1:13" ht="18" customHeight="1" x14ac:dyDescent="0.25">
      <c r="A528" s="998"/>
      <c r="B528" s="999"/>
      <c r="C528" s="999"/>
      <c r="D528" s="999" t="s">
        <v>808</v>
      </c>
      <c r="E528" s="999"/>
      <c r="F528" s="1000"/>
      <c r="G528" s="1001"/>
      <c r="H528" s="1034"/>
      <c r="I528" s="1002">
        <f>SUM(I524:I527)</f>
        <v>65000</v>
      </c>
      <c r="J528" s="1002">
        <f>SUM(J524:J527)</f>
        <v>0</v>
      </c>
      <c r="K528" s="1002">
        <f>SUM(K524:K527)</f>
        <v>90000</v>
      </c>
      <c r="L528" s="1002">
        <f>SUM(L524:L527)</f>
        <v>90000</v>
      </c>
      <c r="M528" s="1002">
        <f>SUM(M524:M527)</f>
        <v>135000</v>
      </c>
    </row>
    <row r="529" spans="1:13" ht="18" customHeight="1" x14ac:dyDescent="0.25">
      <c r="A529" s="998"/>
      <c r="B529" s="999"/>
      <c r="C529" s="999"/>
      <c r="D529" s="999"/>
      <c r="E529" s="999"/>
      <c r="F529" s="1000"/>
      <c r="G529" s="1001"/>
      <c r="H529" s="1034"/>
      <c r="I529" s="1002"/>
      <c r="J529" s="1005"/>
      <c r="K529" s="1005"/>
      <c r="L529" s="1005"/>
      <c r="M529" s="1005"/>
    </row>
    <row r="530" spans="1:13" ht="18" customHeight="1" x14ac:dyDescent="0.25">
      <c r="A530" s="1006" t="s">
        <v>635</v>
      </c>
      <c r="B530" s="1007"/>
      <c r="C530" s="1007"/>
      <c r="D530" s="1007"/>
      <c r="E530" s="1007"/>
      <c r="F530" s="1008"/>
      <c r="G530" s="1009"/>
      <c r="H530" s="1035"/>
      <c r="I530" s="1011">
        <f>SUM(I528+I522+I513)</f>
        <v>2888563.7</v>
      </c>
      <c r="J530" s="1011">
        <f>SUM(J528+J522+J513)</f>
        <v>1382443.37</v>
      </c>
      <c r="K530" s="1011">
        <f>SUM(K528+K522+K513)</f>
        <v>1988642.4</v>
      </c>
      <c r="L530" s="1011">
        <f>SUM(L528+L522+L513)</f>
        <v>3371085.77</v>
      </c>
      <c r="M530" s="1011">
        <f>SUM(M528+M522+M513)</f>
        <v>3345508</v>
      </c>
    </row>
    <row r="531" spans="1:13" ht="18" customHeight="1" x14ac:dyDescent="0.25">
      <c r="A531" s="973"/>
      <c r="B531" s="1012"/>
      <c r="C531" s="973"/>
      <c r="D531" s="973"/>
      <c r="E531" s="973"/>
      <c r="F531" s="973"/>
      <c r="G531" s="973"/>
      <c r="H531" s="1013"/>
      <c r="I531" s="1013"/>
      <c r="J531" s="1014"/>
      <c r="K531" s="1014"/>
      <c r="L531" s="1014"/>
      <c r="M531" s="1014"/>
    </row>
    <row r="532" spans="1:13" ht="18" customHeight="1" x14ac:dyDescent="0.25">
      <c r="A532" s="973"/>
      <c r="B532" s="1012"/>
      <c r="C532" s="973"/>
      <c r="D532" s="973"/>
      <c r="E532" s="973"/>
      <c r="F532" s="973"/>
      <c r="G532" s="973"/>
      <c r="H532" s="1013"/>
      <c r="I532" s="1013"/>
      <c r="J532" s="1014"/>
      <c r="K532" s="1014"/>
      <c r="L532" s="1014"/>
      <c r="M532" s="1014"/>
    </row>
    <row r="533" spans="1:13" ht="18" customHeight="1" x14ac:dyDescent="0.25">
      <c r="A533" s="973"/>
      <c r="B533" s="1012"/>
      <c r="C533" s="973"/>
      <c r="D533" s="973"/>
      <c r="E533" s="973"/>
      <c r="F533" s="973"/>
      <c r="G533" s="973"/>
      <c r="H533" s="1013"/>
      <c r="I533" s="1013"/>
      <c r="J533" s="1014"/>
      <c r="K533" s="1014"/>
      <c r="L533" s="1014"/>
      <c r="M533" s="1014"/>
    </row>
    <row r="534" spans="1:13" s="956" customFormat="1" ht="18" customHeight="1" x14ac:dyDescent="0.25">
      <c r="A534" s="953" t="s">
        <v>636</v>
      </c>
      <c r="B534" s="953"/>
      <c r="C534" s="954"/>
      <c r="D534" s="954"/>
      <c r="E534" s="954"/>
      <c r="F534" s="954"/>
      <c r="G534" s="954"/>
      <c r="H534" s="1017"/>
      <c r="I534" s="1017" t="s">
        <v>637</v>
      </c>
      <c r="J534" s="1014"/>
      <c r="K534" s="1018"/>
      <c r="L534" s="1018" t="s">
        <v>264</v>
      </c>
      <c r="M534" s="1014"/>
    </row>
    <row r="535" spans="1:13" s="956" customFormat="1" ht="18" customHeight="1" x14ac:dyDescent="0.25">
      <c r="A535" s="954"/>
      <c r="B535" s="953"/>
      <c r="C535" s="954"/>
      <c r="F535" s="953"/>
      <c r="G535" s="1103"/>
      <c r="H535" s="1103"/>
      <c r="I535" s="1099"/>
      <c r="J535" s="1099"/>
      <c r="K535" s="1014"/>
      <c r="L535" s="1019"/>
      <c r="M535" s="1014"/>
    </row>
    <row r="536" spans="1:13" s="956" customFormat="1" ht="18" customHeight="1" x14ac:dyDescent="0.25">
      <c r="A536" s="953"/>
      <c r="B536" s="953"/>
      <c r="C536" s="953"/>
      <c r="D536" s="1020"/>
      <c r="E536" s="1020"/>
      <c r="F536" s="1021" t="s">
        <v>25</v>
      </c>
      <c r="G536" s="1022"/>
      <c r="H536" s="1023"/>
      <c r="I536" s="1100" t="s">
        <v>17</v>
      </c>
      <c r="J536" s="1100"/>
      <c r="K536" s="1023"/>
      <c r="L536" s="1100" t="s">
        <v>1495</v>
      </c>
      <c r="M536" s="1100"/>
    </row>
    <row r="537" spans="1:13" s="956" customFormat="1" ht="18" customHeight="1" x14ac:dyDescent="0.25">
      <c r="A537" s="954"/>
      <c r="B537" s="953"/>
      <c r="C537" s="954"/>
      <c r="D537" s="954"/>
      <c r="E537" s="954"/>
      <c r="F537" s="1013" t="s">
        <v>1732</v>
      </c>
      <c r="G537" s="1025"/>
      <c r="H537" s="1025"/>
      <c r="I537" s="1101" t="s">
        <v>18</v>
      </c>
      <c r="J537" s="1101"/>
      <c r="K537" s="1026"/>
      <c r="L537" s="1102" t="s">
        <v>14</v>
      </c>
      <c r="M537" s="1102"/>
    </row>
    <row r="538" spans="1:13" s="956" customFormat="1" ht="18" customHeight="1" x14ac:dyDescent="0.25">
      <c r="A538" s="954"/>
      <c r="B538" s="953"/>
      <c r="C538" s="954"/>
      <c r="D538" s="954"/>
      <c r="E538" s="954"/>
      <c r="F538" s="954"/>
      <c r="G538" s="1025"/>
      <c r="H538" s="1013"/>
      <c r="I538" s="1013"/>
      <c r="K538" s="1027"/>
      <c r="L538" s="1027"/>
      <c r="M538" s="1014"/>
    </row>
    <row r="539" spans="1:13" s="956" customFormat="1" ht="18" customHeight="1" x14ac:dyDescent="0.25">
      <c r="A539" s="954"/>
      <c r="B539" s="953"/>
      <c r="C539" s="954"/>
      <c r="D539" s="954"/>
      <c r="E539" s="954"/>
      <c r="F539" s="954"/>
      <c r="G539" s="1025"/>
      <c r="H539" s="1013"/>
      <c r="I539" s="1013"/>
      <c r="K539" s="1027"/>
      <c r="L539" s="1027"/>
      <c r="M539" s="1014"/>
    </row>
    <row r="540" spans="1:13" s="956" customFormat="1" ht="18" customHeight="1" x14ac:dyDescent="0.25">
      <c r="A540" s="954"/>
      <c r="B540" s="953"/>
      <c r="C540" s="954"/>
      <c r="D540" s="954"/>
      <c r="E540" s="954"/>
      <c r="F540" s="954"/>
      <c r="G540" s="1025"/>
      <c r="H540" s="1013"/>
      <c r="I540" s="1013"/>
      <c r="K540" s="1027"/>
      <c r="L540" s="1027"/>
      <c r="M540" s="1014"/>
    </row>
    <row r="541" spans="1:13" s="956" customFormat="1" ht="18" customHeight="1" x14ac:dyDescent="0.25">
      <c r="A541" s="954"/>
      <c r="B541" s="953"/>
      <c r="C541" s="954"/>
      <c r="D541" s="954"/>
      <c r="E541" s="954"/>
      <c r="F541" s="954"/>
      <c r="G541" s="1025"/>
      <c r="H541" s="1013"/>
      <c r="I541" s="1013"/>
      <c r="K541" s="1027"/>
      <c r="L541" s="1027"/>
      <c r="M541" s="1014"/>
    </row>
    <row r="542" spans="1:13" s="956" customFormat="1" ht="18" customHeight="1" x14ac:dyDescent="0.25">
      <c r="A542" s="954"/>
      <c r="B542" s="953"/>
      <c r="C542" s="954"/>
      <c r="D542" s="954"/>
      <c r="E542" s="954"/>
      <c r="F542" s="954"/>
      <c r="G542" s="1025"/>
      <c r="H542" s="1013"/>
      <c r="I542" s="1013"/>
      <c r="K542" s="1027"/>
      <c r="L542" s="1027"/>
      <c r="M542" s="1014"/>
    </row>
    <row r="543" spans="1:13" s="956" customFormat="1" ht="18" customHeight="1" x14ac:dyDescent="0.25">
      <c r="A543" s="954"/>
      <c r="B543" s="953"/>
      <c r="C543" s="954"/>
      <c r="D543" s="954"/>
      <c r="E543" s="954"/>
      <c r="F543" s="954"/>
      <c r="G543" s="1025"/>
      <c r="H543" s="1013"/>
      <c r="I543" s="1013"/>
      <c r="K543" s="1027"/>
      <c r="L543" s="1027"/>
      <c r="M543" s="1014"/>
    </row>
    <row r="544" spans="1:13" s="956" customFormat="1" ht="18" customHeight="1" x14ac:dyDescent="0.25">
      <c r="A544" s="954"/>
      <c r="B544" s="953"/>
      <c r="C544" s="954"/>
      <c r="D544" s="954"/>
      <c r="E544" s="954"/>
      <c r="F544" s="954"/>
      <c r="G544" s="1025"/>
      <c r="H544" s="1013"/>
      <c r="I544" s="1013"/>
      <c r="K544" s="1027"/>
      <c r="L544" s="1027"/>
      <c r="M544" s="1014"/>
    </row>
    <row r="545" spans="1:13" s="956" customFormat="1" ht="18" customHeight="1" x14ac:dyDescent="0.25">
      <c r="A545" s="954"/>
      <c r="B545" s="953"/>
      <c r="C545" s="954"/>
      <c r="D545" s="954"/>
      <c r="E545" s="954"/>
      <c r="F545" s="954"/>
      <c r="G545" s="1025"/>
      <c r="H545" s="1013"/>
      <c r="I545" s="1013"/>
      <c r="K545" s="1027"/>
      <c r="L545" s="1027"/>
      <c r="M545" s="1014"/>
    </row>
    <row r="546" spans="1:13" s="956" customFormat="1" ht="18" customHeight="1" x14ac:dyDescent="0.25">
      <c r="A546" s="954"/>
      <c r="B546" s="953"/>
      <c r="C546" s="954"/>
      <c r="D546" s="954"/>
      <c r="E546" s="954"/>
      <c r="F546" s="954"/>
      <c r="G546" s="1025"/>
      <c r="H546" s="1013"/>
      <c r="I546" s="1013"/>
      <c r="K546" s="1027"/>
      <c r="L546" s="1027"/>
      <c r="M546" s="1014"/>
    </row>
    <row r="547" spans="1:13" s="956" customFormat="1" ht="18" customHeight="1" x14ac:dyDescent="0.25">
      <c r="A547" s="954"/>
      <c r="B547" s="953"/>
      <c r="C547" s="954"/>
      <c r="D547" s="954"/>
      <c r="E547" s="954"/>
      <c r="F547" s="954"/>
      <c r="G547" s="1025"/>
      <c r="H547" s="1013"/>
      <c r="I547" s="1013"/>
      <c r="K547" s="1027"/>
      <c r="L547" s="1027"/>
      <c r="M547" s="1014"/>
    </row>
    <row r="548" spans="1:13" s="956" customFormat="1" ht="18" customHeight="1" x14ac:dyDescent="0.25">
      <c r="A548" s="954"/>
      <c r="B548" s="953"/>
      <c r="C548" s="954"/>
      <c r="D548" s="954"/>
      <c r="E548" s="954"/>
      <c r="F548" s="954"/>
      <c r="G548" s="1025"/>
      <c r="H548" s="1013"/>
      <c r="I548" s="1013"/>
      <c r="K548" s="1027"/>
      <c r="L548" s="1027"/>
      <c r="M548" s="1014"/>
    </row>
    <row r="549" spans="1:13" s="956" customFormat="1" ht="18" customHeight="1" x14ac:dyDescent="0.25">
      <c r="A549" s="954"/>
      <c r="B549" s="953"/>
      <c r="C549" s="954"/>
      <c r="D549" s="954"/>
      <c r="E549" s="954"/>
      <c r="F549" s="954"/>
      <c r="G549" s="1025"/>
      <c r="H549" s="1013"/>
      <c r="I549" s="1013"/>
      <c r="K549" s="1027"/>
      <c r="L549" s="1027"/>
      <c r="M549" s="1014"/>
    </row>
    <row r="550" spans="1:13" s="956" customFormat="1" ht="20.100000000000001" customHeight="1" x14ac:dyDescent="0.35">
      <c r="A550" s="1095" t="s">
        <v>996</v>
      </c>
      <c r="B550" s="1095"/>
      <c r="C550" s="1095"/>
      <c r="D550" s="1095"/>
      <c r="E550" s="1095"/>
      <c r="F550" s="1095"/>
      <c r="G550" s="1095"/>
      <c r="H550" s="1095"/>
      <c r="I550" s="1095"/>
      <c r="J550" s="1095"/>
      <c r="K550" s="1095"/>
      <c r="L550" s="1095"/>
      <c r="M550" s="1095"/>
    </row>
    <row r="551" spans="1:13" s="956" customFormat="1" ht="18" customHeight="1" x14ac:dyDescent="0.25">
      <c r="A551" s="953"/>
      <c r="B551" s="954"/>
      <c r="C551" s="954"/>
      <c r="D551" s="954"/>
      <c r="E551" s="954"/>
      <c r="F551" s="954"/>
      <c r="G551" s="954"/>
      <c r="H551" s="954"/>
      <c r="I551" s="954"/>
      <c r="J551" s="954"/>
      <c r="K551" s="954"/>
      <c r="L551" s="954"/>
      <c r="M551" s="955"/>
    </row>
    <row r="552" spans="1:13" s="956" customFormat="1" ht="18" customHeight="1" x14ac:dyDescent="0.25">
      <c r="A552" s="1087" t="s">
        <v>21</v>
      </c>
      <c r="B552" s="1087"/>
      <c r="C552" s="1087"/>
      <c r="D552" s="1087"/>
      <c r="E552" s="1087"/>
      <c r="F552" s="1087"/>
      <c r="G552" s="1087"/>
      <c r="H552" s="1087"/>
      <c r="I552" s="1087"/>
      <c r="J552" s="1087"/>
      <c r="K552" s="1087"/>
      <c r="L552" s="1087"/>
      <c r="M552" s="1087"/>
    </row>
    <row r="553" spans="1:13" s="956" customFormat="1" ht="18" customHeight="1" x14ac:dyDescent="0.25">
      <c r="A553" s="1087" t="s">
        <v>364</v>
      </c>
      <c r="B553" s="1087"/>
      <c r="C553" s="1087"/>
      <c r="D553" s="1087"/>
      <c r="E553" s="1087"/>
      <c r="F553" s="1087"/>
      <c r="G553" s="1087"/>
      <c r="H553" s="1087"/>
      <c r="I553" s="1087"/>
      <c r="J553" s="1087"/>
      <c r="K553" s="1087"/>
      <c r="L553" s="1087"/>
      <c r="M553" s="1087"/>
    </row>
    <row r="554" spans="1:13" s="956" customFormat="1" ht="18" customHeight="1" x14ac:dyDescent="0.25">
      <c r="A554" s="957"/>
      <c r="B554" s="957"/>
      <c r="C554" s="957"/>
      <c r="D554" s="957"/>
      <c r="E554" s="957"/>
      <c r="F554" s="957"/>
      <c r="G554" s="957"/>
      <c r="H554" s="957"/>
      <c r="I554" s="957"/>
      <c r="J554" s="957"/>
      <c r="K554" s="957"/>
      <c r="L554" s="957"/>
      <c r="M554" s="957"/>
    </row>
    <row r="555" spans="1:13" s="956" customFormat="1" ht="18" customHeight="1" x14ac:dyDescent="0.25">
      <c r="A555" s="958" t="s">
        <v>1734</v>
      </c>
      <c r="B555" s="957"/>
      <c r="C555" s="959"/>
      <c r="D555" s="957"/>
      <c r="E555" s="957"/>
      <c r="F555" s="957"/>
      <c r="G555" s="957"/>
      <c r="H555" s="957"/>
      <c r="I555" s="957"/>
      <c r="J555" s="957"/>
      <c r="K555" s="957"/>
      <c r="L555" s="957"/>
      <c r="M555" s="957"/>
    </row>
    <row r="556" spans="1:13" s="956" customFormat="1" ht="18" customHeight="1" thickBot="1" x14ac:dyDescent="0.3">
      <c r="A556" s="1087"/>
      <c r="B556" s="1087"/>
      <c r="C556" s="1087"/>
      <c r="D556" s="1087"/>
      <c r="E556" s="1087"/>
      <c r="F556" s="1087"/>
      <c r="G556" s="1087"/>
      <c r="H556" s="1087"/>
      <c r="I556" s="1087"/>
      <c r="J556" s="1087"/>
      <c r="K556" s="1087"/>
      <c r="L556" s="1087"/>
      <c r="M556" s="1087"/>
    </row>
    <row r="557" spans="1:13" ht="18" customHeight="1" x14ac:dyDescent="0.2">
      <c r="A557" s="961"/>
      <c r="B557" s="962"/>
      <c r="C557" s="962"/>
      <c r="D557" s="962"/>
      <c r="E557" s="962"/>
      <c r="F557" s="963"/>
      <c r="G557" s="964"/>
      <c r="H557" s="965"/>
      <c r="I557" s="965"/>
      <c r="J557" s="1089" t="s">
        <v>633</v>
      </c>
      <c r="K557" s="1090"/>
      <c r="L557" s="1091"/>
      <c r="M557" s="966"/>
    </row>
    <row r="558" spans="1:13" ht="18" customHeight="1" x14ac:dyDescent="0.2">
      <c r="A558" s="1092"/>
      <c r="B558" s="1093"/>
      <c r="C558" s="1093"/>
      <c r="D558" s="1093"/>
      <c r="E558" s="1093"/>
      <c r="F558" s="1094"/>
      <c r="G558" s="967"/>
      <c r="H558" s="968"/>
      <c r="I558" s="968" t="s">
        <v>6</v>
      </c>
      <c r="J558" s="968" t="s">
        <v>580</v>
      </c>
      <c r="K558" s="968" t="s">
        <v>581</v>
      </c>
      <c r="L558" s="968"/>
      <c r="M558" s="969" t="s">
        <v>7</v>
      </c>
    </row>
    <row r="559" spans="1:13" ht="18" customHeight="1" x14ac:dyDescent="0.25">
      <c r="A559" s="1092" t="s">
        <v>22</v>
      </c>
      <c r="B559" s="1093"/>
      <c r="C559" s="1093"/>
      <c r="D559" s="1093"/>
      <c r="E559" s="1093"/>
      <c r="F559" s="1094"/>
      <c r="G559" s="970"/>
      <c r="H559" s="971" t="s">
        <v>634</v>
      </c>
      <c r="I559" s="968" t="s">
        <v>579</v>
      </c>
      <c r="J559" s="968" t="s">
        <v>579</v>
      </c>
      <c r="K559" s="968" t="s">
        <v>582</v>
      </c>
      <c r="L559" s="968" t="s">
        <v>15</v>
      </c>
      <c r="M559" s="969" t="s">
        <v>584</v>
      </c>
    </row>
    <row r="560" spans="1:13" ht="18" customHeight="1" x14ac:dyDescent="0.2">
      <c r="A560" s="972"/>
      <c r="B560" s="973"/>
      <c r="C560" s="973"/>
      <c r="D560" s="973"/>
      <c r="E560" s="973"/>
      <c r="F560" s="974"/>
      <c r="G560" s="970"/>
      <c r="H560" s="968"/>
      <c r="I560" s="968">
        <v>2019</v>
      </c>
      <c r="J560" s="968">
        <v>2020</v>
      </c>
      <c r="K560" s="968">
        <v>2020</v>
      </c>
      <c r="L560" s="968">
        <v>2020</v>
      </c>
      <c r="M560" s="969">
        <v>2021</v>
      </c>
    </row>
    <row r="561" spans="1:13" ht="18" customHeight="1" thickBot="1" x14ac:dyDescent="0.25">
      <c r="A561" s="1096"/>
      <c r="B561" s="1097"/>
      <c r="C561" s="1097"/>
      <c r="D561" s="1097"/>
      <c r="E561" s="1097"/>
      <c r="F561" s="1098"/>
      <c r="G561" s="975"/>
      <c r="H561" s="976"/>
      <c r="I561" s="976"/>
      <c r="J561" s="976"/>
      <c r="K561" s="976"/>
      <c r="L561" s="976"/>
      <c r="M561" s="977"/>
    </row>
    <row r="562" spans="1:13" ht="18" customHeight="1" x14ac:dyDescent="0.25">
      <c r="A562" s="978"/>
      <c r="B562" s="979" t="s">
        <v>372</v>
      </c>
      <c r="C562" s="980"/>
      <c r="D562" s="979"/>
      <c r="E562" s="979"/>
      <c r="F562" s="981"/>
      <c r="G562" s="982"/>
      <c r="H562" s="1028"/>
      <c r="I562" s="1029"/>
      <c r="J562" s="1030"/>
      <c r="K562" s="1030"/>
      <c r="L562" s="1030"/>
      <c r="M562" s="1030"/>
    </row>
    <row r="563" spans="1:13" ht="18" customHeight="1" x14ac:dyDescent="0.25">
      <c r="A563" s="986"/>
      <c r="B563" s="987"/>
      <c r="C563" s="987" t="s">
        <v>532</v>
      </c>
      <c r="D563" s="987"/>
      <c r="E563" s="987"/>
      <c r="F563" s="988"/>
      <c r="G563" s="989"/>
      <c r="H563" s="1031"/>
      <c r="I563" s="1032"/>
      <c r="J563" s="1033"/>
      <c r="K563" s="1033"/>
      <c r="L563" s="1033"/>
      <c r="M563" s="1033"/>
    </row>
    <row r="564" spans="1:13" ht="18" customHeight="1" x14ac:dyDescent="0.25">
      <c r="A564" s="986"/>
      <c r="B564" s="987"/>
      <c r="C564" s="987"/>
      <c r="D564" s="987" t="s">
        <v>533</v>
      </c>
      <c r="E564" s="987"/>
      <c r="F564" s="988"/>
      <c r="G564" s="989" t="s">
        <v>603</v>
      </c>
      <c r="H564" s="993" t="s">
        <v>698</v>
      </c>
      <c r="I564" s="994">
        <v>1134558</v>
      </c>
      <c r="J564" s="995">
        <v>648078</v>
      </c>
      <c r="K564" s="995">
        <f>1296156-J564</f>
        <v>648078</v>
      </c>
      <c r="L564" s="995">
        <f>SUM(K564+J564)</f>
        <v>1296156</v>
      </c>
      <c r="M564" s="995">
        <v>1609844</v>
      </c>
    </row>
    <row r="565" spans="1:13" ht="18" customHeight="1" x14ac:dyDescent="0.25">
      <c r="A565" s="986"/>
      <c r="B565" s="987"/>
      <c r="C565" s="987" t="s">
        <v>534</v>
      </c>
      <c r="D565" s="987"/>
      <c r="E565" s="987"/>
      <c r="F565" s="988"/>
      <c r="G565" s="989"/>
      <c r="H565" s="1031"/>
      <c r="I565" s="994"/>
      <c r="J565" s="995"/>
      <c r="K565" s="995"/>
      <c r="L565" s="995"/>
      <c r="M565" s="995"/>
    </row>
    <row r="566" spans="1:13" ht="18" customHeight="1" x14ac:dyDescent="0.25">
      <c r="A566" s="986"/>
      <c r="B566" s="987"/>
      <c r="C566" s="987"/>
      <c r="D566" s="987" t="s">
        <v>535</v>
      </c>
      <c r="E566" s="987"/>
      <c r="F566" s="988"/>
      <c r="G566" s="989" t="s">
        <v>604</v>
      </c>
      <c r="H566" s="993" t="s">
        <v>699</v>
      </c>
      <c r="I566" s="994">
        <v>55000</v>
      </c>
      <c r="J566" s="995">
        <v>36000</v>
      </c>
      <c r="K566" s="995">
        <f>72000-J566</f>
        <v>36000</v>
      </c>
      <c r="L566" s="995">
        <f t="shared" ref="L566:L581" si="17">SUM(K566+J566)</f>
        <v>72000</v>
      </c>
      <c r="M566" s="995">
        <v>96000</v>
      </c>
    </row>
    <row r="567" spans="1:13" ht="18" customHeight="1" x14ac:dyDescent="0.25">
      <c r="A567" s="986"/>
      <c r="B567" s="987"/>
      <c r="C567" s="987"/>
      <c r="D567" s="987" t="s">
        <v>546</v>
      </c>
      <c r="E567" s="987"/>
      <c r="F567" s="988"/>
      <c r="G567" s="989" t="s">
        <v>605</v>
      </c>
      <c r="H567" s="993" t="s">
        <v>700</v>
      </c>
      <c r="I567" s="994">
        <v>76500</v>
      </c>
      <c r="J567" s="995">
        <v>38250</v>
      </c>
      <c r="K567" s="995">
        <f>76500-J567</f>
        <v>38250</v>
      </c>
      <c r="L567" s="995">
        <f t="shared" si="17"/>
        <v>76500</v>
      </c>
      <c r="M567" s="995">
        <v>76500</v>
      </c>
    </row>
    <row r="568" spans="1:13" ht="18" customHeight="1" x14ac:dyDescent="0.25">
      <c r="A568" s="986"/>
      <c r="B568" s="987"/>
      <c r="C568" s="987"/>
      <c r="D568" s="987" t="s">
        <v>545</v>
      </c>
      <c r="E568" s="987"/>
      <c r="F568" s="988"/>
      <c r="G568" s="989" t="s">
        <v>606</v>
      </c>
      <c r="H568" s="993" t="s">
        <v>701</v>
      </c>
      <c r="I568" s="994">
        <v>76500</v>
      </c>
      <c r="J568" s="995">
        <v>38250</v>
      </c>
      <c r="K568" s="995">
        <f>76500-J568</f>
        <v>38250</v>
      </c>
      <c r="L568" s="995">
        <f t="shared" si="17"/>
        <v>76500</v>
      </c>
      <c r="M568" s="995">
        <v>76500</v>
      </c>
    </row>
    <row r="569" spans="1:13" ht="18" customHeight="1" x14ac:dyDescent="0.25">
      <c r="A569" s="986"/>
      <c r="B569" s="987"/>
      <c r="C569" s="987"/>
      <c r="D569" s="987" t="s">
        <v>547</v>
      </c>
      <c r="E569" s="987"/>
      <c r="F569" s="988"/>
      <c r="G569" s="989" t="s">
        <v>607</v>
      </c>
      <c r="H569" s="993" t="s">
        <v>702</v>
      </c>
      <c r="I569" s="994">
        <v>12000</v>
      </c>
      <c r="J569" s="995">
        <v>18000</v>
      </c>
      <c r="K569" s="995">
        <f>18000-J569</f>
        <v>0</v>
      </c>
      <c r="L569" s="995">
        <f t="shared" si="17"/>
        <v>18000</v>
      </c>
      <c r="M569" s="995">
        <v>24000</v>
      </c>
    </row>
    <row r="570" spans="1:13" ht="18" customHeight="1" x14ac:dyDescent="0.25">
      <c r="A570" s="986"/>
      <c r="B570" s="987"/>
      <c r="C570" s="987"/>
      <c r="D570" s="987" t="s">
        <v>696</v>
      </c>
      <c r="E570" s="987"/>
      <c r="F570" s="988"/>
      <c r="G570" s="989" t="s">
        <v>609</v>
      </c>
      <c r="H570" s="993" t="s">
        <v>703</v>
      </c>
      <c r="I570" s="994">
        <v>12000</v>
      </c>
      <c r="J570" s="995">
        <v>0</v>
      </c>
      <c r="K570" s="995">
        <f>15000-J570</f>
        <v>15000</v>
      </c>
      <c r="L570" s="995">
        <f t="shared" si="17"/>
        <v>15000</v>
      </c>
      <c r="M570" s="995">
        <v>20000</v>
      </c>
    </row>
    <row r="571" spans="1:13" ht="18" customHeight="1" x14ac:dyDescent="0.25">
      <c r="A571" s="986"/>
      <c r="B571" s="987"/>
      <c r="C571" s="987"/>
      <c r="D571" s="987" t="s">
        <v>549</v>
      </c>
      <c r="E571" s="987"/>
      <c r="F571" s="988"/>
      <c r="G571" s="989" t="s">
        <v>440</v>
      </c>
      <c r="H571" s="993" t="s">
        <v>704</v>
      </c>
      <c r="I571" s="994">
        <v>0</v>
      </c>
      <c r="J571" s="995">
        <v>0</v>
      </c>
      <c r="K571" s="995">
        <f>5000-J571</f>
        <v>5000</v>
      </c>
      <c r="L571" s="995">
        <f t="shared" si="17"/>
        <v>5000</v>
      </c>
      <c r="M571" s="995">
        <v>0</v>
      </c>
    </row>
    <row r="572" spans="1:13" ht="18" customHeight="1" x14ac:dyDescent="0.25">
      <c r="A572" s="986"/>
      <c r="B572" s="987"/>
      <c r="C572" s="987"/>
      <c r="D572" s="987" t="s">
        <v>1562</v>
      </c>
      <c r="E572" s="987"/>
      <c r="F572" s="988"/>
      <c r="G572" s="989"/>
      <c r="H572" s="993" t="s">
        <v>704</v>
      </c>
      <c r="I572" s="994">
        <v>38686.800000000003</v>
      </c>
      <c r="J572" s="995">
        <v>40955.300000000003</v>
      </c>
      <c r="K572" s="995">
        <f>40955.3-J572</f>
        <v>0</v>
      </c>
      <c r="L572" s="995">
        <f t="shared" si="17"/>
        <v>40955.300000000003</v>
      </c>
      <c r="M572" s="995">
        <v>0</v>
      </c>
    </row>
    <row r="573" spans="1:13" ht="18" customHeight="1" x14ac:dyDescent="0.25">
      <c r="A573" s="986"/>
      <c r="B573" s="987"/>
      <c r="C573" s="987"/>
      <c r="D573" s="987" t="s">
        <v>552</v>
      </c>
      <c r="E573" s="987"/>
      <c r="F573" s="988"/>
      <c r="G573" s="989" t="s">
        <v>612</v>
      </c>
      <c r="H573" s="993" t="s">
        <v>705</v>
      </c>
      <c r="I573" s="994">
        <v>11000</v>
      </c>
      <c r="J573" s="995">
        <v>0</v>
      </c>
      <c r="K573" s="995">
        <f>15000-J573</f>
        <v>15000</v>
      </c>
      <c r="L573" s="995">
        <f t="shared" si="17"/>
        <v>15000</v>
      </c>
      <c r="M573" s="995">
        <v>20000</v>
      </c>
    </row>
    <row r="574" spans="1:13" ht="18" customHeight="1" x14ac:dyDescent="0.25">
      <c r="A574" s="986"/>
      <c r="B574" s="987"/>
      <c r="C574" s="987"/>
      <c r="D574" s="987" t="s">
        <v>816</v>
      </c>
      <c r="E574" s="987"/>
      <c r="F574" s="987"/>
      <c r="G574" s="997" t="s">
        <v>440</v>
      </c>
      <c r="H574" s="993" t="s">
        <v>704</v>
      </c>
      <c r="I574" s="994">
        <v>90392</v>
      </c>
      <c r="J574" s="995">
        <v>108013</v>
      </c>
      <c r="K574" s="995">
        <f>108013-J574</f>
        <v>0</v>
      </c>
      <c r="L574" s="995">
        <f t="shared" si="17"/>
        <v>108013</v>
      </c>
      <c r="M574" s="995">
        <v>133532</v>
      </c>
    </row>
    <row r="575" spans="1:13" ht="18" customHeight="1" x14ac:dyDescent="0.25">
      <c r="A575" s="986"/>
      <c r="B575" s="987"/>
      <c r="C575" s="987"/>
      <c r="D575" s="987" t="s">
        <v>553</v>
      </c>
      <c r="E575" s="987"/>
      <c r="F575" s="988"/>
      <c r="G575" s="989" t="s">
        <v>613</v>
      </c>
      <c r="H575" s="993" t="s">
        <v>706</v>
      </c>
      <c r="I575" s="994">
        <v>90392</v>
      </c>
      <c r="J575" s="995">
        <v>0</v>
      </c>
      <c r="K575" s="995">
        <f>108013-J575</f>
        <v>108013</v>
      </c>
      <c r="L575" s="995">
        <f t="shared" si="17"/>
        <v>108013</v>
      </c>
      <c r="M575" s="995">
        <v>134735</v>
      </c>
    </row>
    <row r="576" spans="1:13" ht="18" customHeight="1" x14ac:dyDescent="0.25">
      <c r="A576" s="986"/>
      <c r="B576" s="987"/>
      <c r="C576" s="987"/>
      <c r="D576" s="987" t="s">
        <v>669</v>
      </c>
      <c r="E576" s="987"/>
      <c r="F576" s="988"/>
      <c r="G576" s="989" t="s">
        <v>614</v>
      </c>
      <c r="H576" s="993" t="s">
        <v>707</v>
      </c>
      <c r="I576" s="994">
        <f>76425.6+57425.52</f>
        <v>133851.12</v>
      </c>
      <c r="J576" s="995">
        <v>53833.2</v>
      </c>
      <c r="K576" s="995">
        <f>155600-J576</f>
        <v>101766.8</v>
      </c>
      <c r="L576" s="995">
        <f t="shared" si="17"/>
        <v>155600</v>
      </c>
      <c r="M576" s="995">
        <v>193900</v>
      </c>
    </row>
    <row r="577" spans="1:13" ht="18" customHeight="1" x14ac:dyDescent="0.25">
      <c r="A577" s="986"/>
      <c r="B577" s="987"/>
      <c r="C577" s="987"/>
      <c r="D577" s="987" t="s">
        <v>554</v>
      </c>
      <c r="E577" s="987"/>
      <c r="F577" s="988"/>
      <c r="G577" s="989" t="s">
        <v>615</v>
      </c>
      <c r="H577" s="993" t="s">
        <v>708</v>
      </c>
      <c r="I577" s="994">
        <v>2600</v>
      </c>
      <c r="J577" s="995">
        <v>1500</v>
      </c>
      <c r="K577" s="995">
        <f>3600-J577</f>
        <v>2100</v>
      </c>
      <c r="L577" s="995">
        <f t="shared" si="17"/>
        <v>3600</v>
      </c>
      <c r="M577" s="995">
        <v>7200</v>
      </c>
    </row>
    <row r="578" spans="1:13" ht="18" customHeight="1" x14ac:dyDescent="0.25">
      <c r="A578" s="986"/>
      <c r="B578" s="987"/>
      <c r="C578" s="987"/>
      <c r="D578" s="987" t="s">
        <v>555</v>
      </c>
      <c r="E578" s="987"/>
      <c r="F578" s="988"/>
      <c r="G578" s="989" t="s">
        <v>616</v>
      </c>
      <c r="H578" s="993" t="s">
        <v>709</v>
      </c>
      <c r="I578" s="994">
        <v>10436.25</v>
      </c>
      <c r="J578" s="995">
        <v>7020</v>
      </c>
      <c r="K578" s="995">
        <f>19550-J578</f>
        <v>12530</v>
      </c>
      <c r="L578" s="995">
        <f t="shared" si="17"/>
        <v>19550</v>
      </c>
      <c r="M578" s="995">
        <v>28700</v>
      </c>
    </row>
    <row r="579" spans="1:13" ht="18" customHeight="1" x14ac:dyDescent="0.25">
      <c r="A579" s="986"/>
      <c r="B579" s="987"/>
      <c r="C579" s="987"/>
      <c r="D579" s="987" t="s">
        <v>665</v>
      </c>
      <c r="E579" s="987"/>
      <c r="F579" s="988"/>
      <c r="G579" s="989" t="s">
        <v>617</v>
      </c>
      <c r="H579" s="993" t="s">
        <v>710</v>
      </c>
      <c r="I579" s="994">
        <f>2100+600</f>
        <v>2700</v>
      </c>
      <c r="J579" s="995">
        <v>1000</v>
      </c>
      <c r="K579" s="995">
        <f>3600-J579</f>
        <v>2600</v>
      </c>
      <c r="L579" s="995">
        <f t="shared" si="17"/>
        <v>3600</v>
      </c>
      <c r="M579" s="995">
        <v>4800</v>
      </c>
    </row>
    <row r="580" spans="1:13" ht="18" customHeight="1" x14ac:dyDescent="0.25">
      <c r="A580" s="986"/>
      <c r="B580" s="987"/>
      <c r="C580" s="987"/>
      <c r="D580" s="987" t="s">
        <v>378</v>
      </c>
      <c r="E580" s="987"/>
      <c r="F580" s="988"/>
      <c r="G580" s="989" t="s">
        <v>618</v>
      </c>
      <c r="H580" s="993" t="s">
        <v>711</v>
      </c>
      <c r="I580" s="994">
        <v>0</v>
      </c>
      <c r="J580" s="995">
        <v>0</v>
      </c>
      <c r="K580" s="995">
        <f>17964.55-J580</f>
        <v>17964.55</v>
      </c>
      <c r="L580" s="995">
        <f t="shared" si="17"/>
        <v>17964.55</v>
      </c>
      <c r="M580" s="995">
        <v>0</v>
      </c>
    </row>
    <row r="581" spans="1:13" ht="18" customHeight="1" x14ac:dyDescent="0.25">
      <c r="A581" s="986"/>
      <c r="B581" s="987"/>
      <c r="C581" s="987"/>
      <c r="D581" s="987" t="s">
        <v>1563</v>
      </c>
      <c r="E581" s="987"/>
      <c r="F581" s="988"/>
      <c r="G581" s="989"/>
      <c r="H581" s="993" t="s">
        <v>722</v>
      </c>
      <c r="I581" s="994">
        <v>23000</v>
      </c>
      <c r="J581" s="995"/>
      <c r="K581" s="995">
        <f>0-J581</f>
        <v>0</v>
      </c>
      <c r="L581" s="995">
        <f t="shared" si="17"/>
        <v>0</v>
      </c>
      <c r="M581" s="995"/>
    </row>
    <row r="582" spans="1:13" ht="18" customHeight="1" x14ac:dyDescent="0.25">
      <c r="A582" s="998"/>
      <c r="B582" s="999"/>
      <c r="C582" s="999"/>
      <c r="D582" s="999" t="s">
        <v>377</v>
      </c>
      <c r="E582" s="999"/>
      <c r="F582" s="1000"/>
      <c r="G582" s="1001"/>
      <c r="H582" s="1034"/>
      <c r="I582" s="1002">
        <f>SUM(I564:I581)</f>
        <v>1769616.17</v>
      </c>
      <c r="J582" s="1002">
        <f>SUM(J564:J581)</f>
        <v>990899.5</v>
      </c>
      <c r="K582" s="1002">
        <f>SUM(K564:K581)</f>
        <v>1040552.3500000001</v>
      </c>
      <c r="L582" s="1002">
        <f>SUM(L564:L581)</f>
        <v>2031451.85</v>
      </c>
      <c r="M582" s="1002">
        <f>SUM(M564:M581)</f>
        <v>2425711</v>
      </c>
    </row>
    <row r="583" spans="1:13" ht="18" customHeight="1" x14ac:dyDescent="0.25">
      <c r="A583" s="986"/>
      <c r="B583" s="987" t="s">
        <v>558</v>
      </c>
      <c r="C583" s="987"/>
      <c r="D583" s="987"/>
      <c r="E583" s="987"/>
      <c r="F583" s="988"/>
      <c r="G583" s="989"/>
      <c r="H583" s="1031"/>
      <c r="I583" s="994"/>
      <c r="J583" s="995"/>
      <c r="K583" s="995"/>
      <c r="L583" s="995"/>
      <c r="M583" s="995"/>
    </row>
    <row r="584" spans="1:13" ht="18" customHeight="1" x14ac:dyDescent="0.25">
      <c r="A584" s="986"/>
      <c r="B584" s="987"/>
      <c r="C584" s="987"/>
      <c r="D584" s="987" t="s">
        <v>559</v>
      </c>
      <c r="E584" s="987"/>
      <c r="F584" s="988"/>
      <c r="G584" s="989" t="s">
        <v>390</v>
      </c>
      <c r="H584" s="993" t="s">
        <v>712</v>
      </c>
      <c r="I584" s="994">
        <v>25690</v>
      </c>
      <c r="J584" s="995">
        <v>1800</v>
      </c>
      <c r="K584" s="995">
        <f>50000-J584</f>
        <v>48200</v>
      </c>
      <c r="L584" s="995">
        <f t="shared" ref="L584:L590" si="18">SUM(K584+J584)</f>
        <v>50000</v>
      </c>
      <c r="M584" s="995">
        <f>50000-12000</f>
        <v>38000</v>
      </c>
    </row>
    <row r="585" spans="1:13" ht="18" customHeight="1" x14ac:dyDescent="0.25">
      <c r="A585" s="986"/>
      <c r="B585" s="987"/>
      <c r="C585" s="987"/>
      <c r="D585" s="987" t="s">
        <v>436</v>
      </c>
      <c r="E585" s="987"/>
      <c r="F585" s="988"/>
      <c r="G585" s="989" t="s">
        <v>391</v>
      </c>
      <c r="H585" s="993" t="s">
        <v>713</v>
      </c>
      <c r="I585" s="994">
        <v>34830</v>
      </c>
      <c r="J585" s="995">
        <v>0</v>
      </c>
      <c r="K585" s="995">
        <f>40000-J585</f>
        <v>40000</v>
      </c>
      <c r="L585" s="995">
        <f t="shared" si="18"/>
        <v>40000</v>
      </c>
      <c r="M585" s="995">
        <v>40000</v>
      </c>
    </row>
    <row r="586" spans="1:13" ht="18" customHeight="1" x14ac:dyDescent="0.25">
      <c r="A586" s="986"/>
      <c r="B586" s="987"/>
      <c r="C586" s="987"/>
      <c r="D586" s="987" t="s">
        <v>384</v>
      </c>
      <c r="E586" s="987"/>
      <c r="F586" s="988"/>
      <c r="G586" s="989" t="s">
        <v>393</v>
      </c>
      <c r="H586" s="993" t="s">
        <v>714</v>
      </c>
      <c r="I586" s="994">
        <v>74219</v>
      </c>
      <c r="J586" s="995">
        <v>17935</v>
      </c>
      <c r="K586" s="995">
        <f>70000-J586</f>
        <v>52065</v>
      </c>
      <c r="L586" s="995">
        <f t="shared" si="18"/>
        <v>70000</v>
      </c>
      <c r="M586" s="995">
        <f>100000-20000</f>
        <v>80000</v>
      </c>
    </row>
    <row r="587" spans="1:13" ht="18" customHeight="1" x14ac:dyDescent="0.25">
      <c r="A587" s="986"/>
      <c r="B587" s="987"/>
      <c r="C587" s="987"/>
      <c r="D587" s="987" t="s">
        <v>563</v>
      </c>
      <c r="E587" s="987"/>
      <c r="F587" s="988"/>
      <c r="G587" s="989" t="s">
        <v>622</v>
      </c>
      <c r="H587" s="993" t="s">
        <v>715</v>
      </c>
      <c r="I587" s="994">
        <v>0</v>
      </c>
      <c r="J587" s="995">
        <v>0</v>
      </c>
      <c r="K587" s="995">
        <f>1000-J587</f>
        <v>1000</v>
      </c>
      <c r="L587" s="995">
        <f t="shared" si="18"/>
        <v>1000</v>
      </c>
      <c r="M587" s="995">
        <v>0</v>
      </c>
    </row>
    <row r="588" spans="1:13" ht="18" customHeight="1" x14ac:dyDescent="0.25">
      <c r="A588" s="986"/>
      <c r="B588" s="987"/>
      <c r="C588" s="987"/>
      <c r="D588" s="987" t="s">
        <v>565</v>
      </c>
      <c r="E588" s="987"/>
      <c r="F588" s="988"/>
      <c r="G588" s="989" t="s">
        <v>394</v>
      </c>
      <c r="H588" s="993" t="s">
        <v>716</v>
      </c>
      <c r="I588" s="994">
        <v>24000</v>
      </c>
      <c r="J588" s="995">
        <v>12000</v>
      </c>
      <c r="K588" s="995">
        <f>24000-J588</f>
        <v>12000</v>
      </c>
      <c r="L588" s="995">
        <f t="shared" si="18"/>
        <v>24000</v>
      </c>
      <c r="M588" s="995">
        <f>24000+12000</f>
        <v>36000</v>
      </c>
    </row>
    <row r="589" spans="1:13" ht="18" customHeight="1" x14ac:dyDescent="0.25">
      <c r="A589" s="986"/>
      <c r="B589" s="987"/>
      <c r="C589" s="987"/>
      <c r="D589" s="987" t="s">
        <v>945</v>
      </c>
      <c r="E589" s="987"/>
      <c r="F589" s="988"/>
      <c r="G589" s="989" t="s">
        <v>395</v>
      </c>
      <c r="H589" s="993" t="s">
        <v>717</v>
      </c>
      <c r="I589" s="994">
        <v>30000</v>
      </c>
      <c r="J589" s="995">
        <v>350</v>
      </c>
      <c r="K589" s="995">
        <f>30000-J589</f>
        <v>29650</v>
      </c>
      <c r="L589" s="995">
        <f t="shared" si="18"/>
        <v>30000</v>
      </c>
      <c r="M589" s="995">
        <v>30000</v>
      </c>
    </row>
    <row r="590" spans="1:13" ht="18" customHeight="1" x14ac:dyDescent="0.25">
      <c r="A590" s="986"/>
      <c r="B590" s="987"/>
      <c r="C590" s="987"/>
      <c r="D590" s="987" t="s">
        <v>572</v>
      </c>
      <c r="E590" s="987"/>
      <c r="F590" s="988"/>
      <c r="G590" s="989" t="s">
        <v>396</v>
      </c>
      <c r="H590" s="993" t="s">
        <v>718</v>
      </c>
      <c r="I590" s="994">
        <v>70417</v>
      </c>
      <c r="J590" s="995">
        <v>0</v>
      </c>
      <c r="K590" s="995">
        <f>10000-J590</f>
        <v>10000</v>
      </c>
      <c r="L590" s="995">
        <f t="shared" si="18"/>
        <v>10000</v>
      </c>
      <c r="M590" s="995">
        <v>10000</v>
      </c>
    </row>
    <row r="591" spans="1:13" ht="18" customHeight="1" x14ac:dyDescent="0.25">
      <c r="A591" s="998"/>
      <c r="B591" s="999"/>
      <c r="C591" s="999"/>
      <c r="D591" s="999" t="s">
        <v>763</v>
      </c>
      <c r="E591" s="999"/>
      <c r="F591" s="1000"/>
      <c r="G591" s="1001"/>
      <c r="H591" s="1034"/>
      <c r="I591" s="1002">
        <f>SUM(I584:I590)</f>
        <v>259156</v>
      </c>
      <c r="J591" s="1002">
        <f>SUM(J584:J590)</f>
        <v>32085</v>
      </c>
      <c r="K591" s="1002">
        <f>SUM(K584:K590)</f>
        <v>192915</v>
      </c>
      <c r="L591" s="1002">
        <f>SUM(L584:L590)</f>
        <v>225000</v>
      </c>
      <c r="M591" s="1002">
        <f>SUM(M584:M590)</f>
        <v>234000</v>
      </c>
    </row>
    <row r="592" spans="1:13" ht="18" customHeight="1" x14ac:dyDescent="0.25">
      <c r="A592" s="986"/>
      <c r="B592" s="987" t="s">
        <v>573</v>
      </c>
      <c r="C592" s="987"/>
      <c r="D592" s="987"/>
      <c r="E592" s="987"/>
      <c r="F592" s="988"/>
      <c r="G592" s="989"/>
      <c r="H592" s="1031"/>
      <c r="I592" s="994"/>
      <c r="J592" s="995"/>
      <c r="K592" s="995"/>
      <c r="L592" s="995"/>
      <c r="M592" s="995"/>
    </row>
    <row r="593" spans="1:13" ht="18" customHeight="1" x14ac:dyDescent="0.25">
      <c r="A593" s="986"/>
      <c r="B593" s="987"/>
      <c r="C593" s="987"/>
      <c r="D593" s="987" t="s">
        <v>858</v>
      </c>
      <c r="E593" s="987"/>
      <c r="F593" s="988"/>
      <c r="G593" s="989" t="s">
        <v>861</v>
      </c>
      <c r="H593" s="993" t="s">
        <v>1640</v>
      </c>
      <c r="I593" s="994">
        <v>21700</v>
      </c>
      <c r="J593" s="995">
        <v>15990</v>
      </c>
      <c r="K593" s="995">
        <f>70000-J593</f>
        <v>54010</v>
      </c>
      <c r="L593" s="995">
        <f>SUM(K593+J593)</f>
        <v>70000</v>
      </c>
      <c r="M593" s="995">
        <v>200000</v>
      </c>
    </row>
    <row r="594" spans="1:13" ht="18" customHeight="1" x14ac:dyDescent="0.25">
      <c r="A594" s="986"/>
      <c r="B594" s="987"/>
      <c r="C594" s="987"/>
      <c r="D594" s="987" t="s">
        <v>868</v>
      </c>
      <c r="E594" s="987"/>
      <c r="F594" s="988"/>
      <c r="G594" s="989"/>
      <c r="H594" s="993" t="s">
        <v>869</v>
      </c>
      <c r="I594" s="994">
        <v>0</v>
      </c>
      <c r="J594" s="995">
        <v>0</v>
      </c>
      <c r="K594" s="995">
        <v>0</v>
      </c>
      <c r="L594" s="995">
        <f>SUM(K594+J594)</f>
        <v>0</v>
      </c>
      <c r="M594" s="995">
        <f>20000</f>
        <v>20000</v>
      </c>
    </row>
    <row r="595" spans="1:13" ht="18" customHeight="1" x14ac:dyDescent="0.25">
      <c r="A595" s="986"/>
      <c r="B595" s="987"/>
      <c r="C595" s="987"/>
      <c r="D595" s="987" t="s">
        <v>979</v>
      </c>
      <c r="E595" s="987"/>
      <c r="F595" s="988"/>
      <c r="G595" s="989"/>
      <c r="H595" s="993" t="s">
        <v>980</v>
      </c>
      <c r="I595" s="994">
        <v>199000</v>
      </c>
      <c r="J595" s="995">
        <v>0</v>
      </c>
      <c r="K595" s="995">
        <f>0-J595</f>
        <v>0</v>
      </c>
      <c r="L595" s="995">
        <f>SUM(K595+J595)</f>
        <v>0</v>
      </c>
      <c r="M595" s="995">
        <v>0</v>
      </c>
    </row>
    <row r="596" spans="1:13" ht="18" customHeight="1" x14ac:dyDescent="0.25">
      <c r="A596" s="986"/>
      <c r="B596" s="987"/>
      <c r="C596" s="987"/>
      <c r="D596" s="987" t="s">
        <v>862</v>
      </c>
      <c r="E596" s="987"/>
      <c r="F596" s="988"/>
      <c r="G596" s="989" t="s">
        <v>863</v>
      </c>
      <c r="H596" s="993" t="s">
        <v>864</v>
      </c>
      <c r="I596" s="994">
        <v>0</v>
      </c>
      <c r="J596" s="995">
        <v>0</v>
      </c>
      <c r="K596" s="995">
        <f>20000-J596</f>
        <v>20000</v>
      </c>
      <c r="L596" s="995">
        <f>SUM(K596+J596)</f>
        <v>20000</v>
      </c>
      <c r="M596" s="995">
        <v>0</v>
      </c>
    </row>
    <row r="597" spans="1:13" ht="18" customHeight="1" x14ac:dyDescent="0.25">
      <c r="A597" s="998"/>
      <c r="B597" s="999"/>
      <c r="C597" s="999"/>
      <c r="D597" s="999" t="s">
        <v>808</v>
      </c>
      <c r="E597" s="999"/>
      <c r="F597" s="1000"/>
      <c r="G597" s="1001"/>
      <c r="H597" s="1034"/>
      <c r="I597" s="1002">
        <f>SUM(I593:I596)</f>
        <v>220700</v>
      </c>
      <c r="J597" s="1002">
        <f>SUM(J593:J596)</f>
        <v>15990</v>
      </c>
      <c r="K597" s="1002">
        <f>SUM(K593:K596)</f>
        <v>74010</v>
      </c>
      <c r="L597" s="1002">
        <f>SUM(L593:L596)</f>
        <v>90000</v>
      </c>
      <c r="M597" s="1002">
        <f>SUM(M593:M596)</f>
        <v>220000</v>
      </c>
    </row>
    <row r="598" spans="1:13" ht="18" customHeight="1" x14ac:dyDescent="0.25">
      <c r="A598" s="998"/>
      <c r="B598" s="999"/>
      <c r="C598" s="999"/>
      <c r="D598" s="999"/>
      <c r="E598" s="999"/>
      <c r="F598" s="1000"/>
      <c r="G598" s="1001"/>
      <c r="H598" s="1034"/>
      <c r="I598" s="1002"/>
      <c r="J598" s="1005"/>
      <c r="K598" s="1005"/>
      <c r="L598" s="1005"/>
      <c r="M598" s="1005"/>
    </row>
    <row r="599" spans="1:13" ht="18" customHeight="1" x14ac:dyDescent="0.25">
      <c r="A599" s="1006" t="s">
        <v>635</v>
      </c>
      <c r="B599" s="1007"/>
      <c r="C599" s="1007"/>
      <c r="D599" s="1007"/>
      <c r="E599" s="1007"/>
      <c r="F599" s="1008"/>
      <c r="G599" s="1009"/>
      <c r="H599" s="1035"/>
      <c r="I599" s="1011">
        <f>SUM(I597+I591+I582)</f>
        <v>2249472.17</v>
      </c>
      <c r="J599" s="1011">
        <f>SUM(J597+J591+J582)</f>
        <v>1038974.5</v>
      </c>
      <c r="K599" s="1011">
        <f>SUM(K597+K591+K582)</f>
        <v>1307477.3500000001</v>
      </c>
      <c r="L599" s="1011">
        <f>SUM(L597+L591+L582)</f>
        <v>2346451.85</v>
      </c>
      <c r="M599" s="1011">
        <f>SUM(M597+M591+M582)</f>
        <v>2879711</v>
      </c>
    </row>
    <row r="600" spans="1:13" ht="18" customHeight="1" x14ac:dyDescent="0.25">
      <c r="A600" s="973"/>
      <c r="B600" s="1012"/>
      <c r="C600" s="973"/>
      <c r="D600" s="973"/>
      <c r="E600" s="973"/>
      <c r="F600" s="973"/>
      <c r="G600" s="973"/>
      <c r="H600" s="1013"/>
      <c r="I600" s="1013"/>
      <c r="J600" s="1014"/>
      <c r="K600" s="1014"/>
      <c r="L600" s="1014"/>
      <c r="M600" s="1014"/>
    </row>
    <row r="601" spans="1:13" ht="18" customHeight="1" x14ac:dyDescent="0.25">
      <c r="A601" s="973"/>
      <c r="B601" s="1012"/>
      <c r="C601" s="973"/>
      <c r="D601" s="973"/>
      <c r="E601" s="973"/>
      <c r="F601" s="973"/>
      <c r="G601" s="973"/>
      <c r="H601" s="1013"/>
      <c r="I601" s="1013"/>
      <c r="J601" s="1014"/>
      <c r="K601" s="1014"/>
      <c r="L601" s="1014"/>
      <c r="M601" s="1014"/>
    </row>
    <row r="602" spans="1:13" ht="18" customHeight="1" x14ac:dyDescent="0.25">
      <c r="A602" s="973"/>
      <c r="B602" s="1012"/>
      <c r="C602" s="973"/>
      <c r="D602" s="973"/>
      <c r="E602" s="973"/>
      <c r="F602" s="973"/>
      <c r="G602" s="973"/>
      <c r="H602" s="1013"/>
      <c r="I602" s="1013"/>
      <c r="J602" s="1014"/>
      <c r="K602" s="1014"/>
      <c r="L602" s="1014"/>
      <c r="M602" s="1014"/>
    </row>
    <row r="603" spans="1:13" s="956" customFormat="1" ht="18" customHeight="1" x14ac:dyDescent="0.25">
      <c r="A603" s="953" t="s">
        <v>636</v>
      </c>
      <c r="B603" s="953"/>
      <c r="C603" s="954"/>
      <c r="D603" s="954"/>
      <c r="E603" s="954"/>
      <c r="F603" s="954"/>
      <c r="G603" s="954"/>
      <c r="H603" s="1017"/>
      <c r="I603" s="1017" t="s">
        <v>637</v>
      </c>
      <c r="J603" s="1014"/>
      <c r="K603" s="1018"/>
      <c r="L603" s="1018" t="s">
        <v>264</v>
      </c>
      <c r="M603" s="1014"/>
    </row>
    <row r="604" spans="1:13" s="956" customFormat="1" ht="18" customHeight="1" x14ac:dyDescent="0.25">
      <c r="A604" s="954"/>
      <c r="B604" s="953"/>
      <c r="C604" s="954"/>
      <c r="F604" s="953"/>
      <c r="G604" s="1103"/>
      <c r="H604" s="1103"/>
      <c r="I604" s="1099"/>
      <c r="J604" s="1099"/>
      <c r="K604" s="1014"/>
      <c r="L604" s="1019"/>
      <c r="M604" s="1014"/>
    </row>
    <row r="605" spans="1:13" s="956" customFormat="1" ht="18" customHeight="1" x14ac:dyDescent="0.25">
      <c r="A605" s="953"/>
      <c r="B605" s="953"/>
      <c r="C605" s="953"/>
      <c r="D605" s="1020"/>
      <c r="E605" s="1020"/>
      <c r="F605" s="1021" t="s">
        <v>935</v>
      </c>
      <c r="G605" s="1022"/>
      <c r="H605" s="1023"/>
      <c r="I605" s="1100" t="s">
        <v>17</v>
      </c>
      <c r="J605" s="1100"/>
      <c r="K605" s="1023"/>
      <c r="L605" s="1100" t="s">
        <v>1495</v>
      </c>
      <c r="M605" s="1100"/>
    </row>
    <row r="606" spans="1:13" s="956" customFormat="1" ht="18" customHeight="1" x14ac:dyDescent="0.25">
      <c r="A606" s="954"/>
      <c r="B606" s="953"/>
      <c r="C606" s="954"/>
      <c r="D606" s="954"/>
      <c r="E606" s="954"/>
      <c r="F606" s="1013" t="s">
        <v>989</v>
      </c>
      <c r="G606" s="1025"/>
      <c r="H606" s="1025"/>
      <c r="I606" s="1101" t="s">
        <v>18</v>
      </c>
      <c r="J606" s="1101"/>
      <c r="K606" s="1026"/>
      <c r="L606" s="1102" t="s">
        <v>14</v>
      </c>
      <c r="M606" s="1102"/>
    </row>
    <row r="607" spans="1:13" s="956" customFormat="1" ht="18" customHeight="1" x14ac:dyDescent="0.2"/>
    <row r="608" spans="1:13" s="956" customFormat="1" ht="18" customHeight="1" x14ac:dyDescent="0.2"/>
    <row r="609" spans="1:13" s="956" customFormat="1" ht="18" customHeight="1" x14ac:dyDescent="0.2"/>
    <row r="610" spans="1:13" s="956" customFormat="1" ht="18" customHeight="1" x14ac:dyDescent="0.2"/>
    <row r="611" spans="1:13" s="956" customFormat="1" ht="18" customHeight="1" x14ac:dyDescent="0.2"/>
    <row r="612" spans="1:13" s="956" customFormat="1" ht="18" customHeight="1" x14ac:dyDescent="0.2"/>
    <row r="613" spans="1:13" s="956" customFormat="1" ht="18" customHeight="1" x14ac:dyDescent="0.2"/>
    <row r="614" spans="1:13" s="956" customFormat="1" ht="18" customHeight="1" x14ac:dyDescent="0.2"/>
    <row r="615" spans="1:13" s="956" customFormat="1" ht="18" customHeight="1" x14ac:dyDescent="0.2"/>
    <row r="616" spans="1:13" s="956" customFormat="1" ht="18" customHeight="1" x14ac:dyDescent="0.2"/>
    <row r="617" spans="1:13" s="956" customFormat="1" ht="18" customHeight="1" x14ac:dyDescent="0.2"/>
    <row r="618" spans="1:13" s="1041" customFormat="1" ht="20.100000000000001" customHeight="1" x14ac:dyDescent="0.35">
      <c r="A618" s="1095" t="s">
        <v>1730</v>
      </c>
      <c r="B618" s="1095"/>
      <c r="C618" s="1095"/>
      <c r="D618" s="1095"/>
      <c r="E618" s="1095"/>
      <c r="F618" s="1095"/>
      <c r="G618" s="1095"/>
      <c r="H618" s="1095"/>
      <c r="I618" s="1095"/>
      <c r="J618" s="1095"/>
      <c r="K618" s="1095"/>
      <c r="L618" s="1095"/>
      <c r="M618" s="1095"/>
    </row>
    <row r="619" spans="1:13" s="956" customFormat="1" ht="18" customHeight="1" x14ac:dyDescent="0.25">
      <c r="A619" s="953"/>
      <c r="B619" s="954"/>
      <c r="C619" s="954"/>
      <c r="D619" s="954"/>
      <c r="E619" s="954"/>
      <c r="F619" s="954"/>
      <c r="G619" s="954"/>
      <c r="H619" s="954"/>
      <c r="I619" s="954"/>
      <c r="J619" s="954"/>
      <c r="K619" s="954"/>
      <c r="L619" s="954"/>
      <c r="M619" s="955"/>
    </row>
    <row r="620" spans="1:13" s="956" customFormat="1" ht="18" customHeight="1" x14ac:dyDescent="0.25">
      <c r="A620" s="1087" t="s">
        <v>21</v>
      </c>
      <c r="B620" s="1087"/>
      <c r="C620" s="1087"/>
      <c r="D620" s="1087"/>
      <c r="E620" s="1087"/>
      <c r="F620" s="1087"/>
      <c r="G620" s="1087"/>
      <c r="H620" s="1087"/>
      <c r="I620" s="1087"/>
      <c r="J620" s="1087"/>
      <c r="K620" s="1087"/>
      <c r="L620" s="1087"/>
      <c r="M620" s="1087"/>
    </row>
    <row r="621" spans="1:13" s="956" customFormat="1" ht="18" customHeight="1" x14ac:dyDescent="0.25">
      <c r="A621" s="1087" t="s">
        <v>364</v>
      </c>
      <c r="B621" s="1087"/>
      <c r="C621" s="1087"/>
      <c r="D621" s="1087"/>
      <c r="E621" s="1087"/>
      <c r="F621" s="1087"/>
      <c r="G621" s="1087"/>
      <c r="H621" s="1087"/>
      <c r="I621" s="1087"/>
      <c r="J621" s="1087"/>
      <c r="K621" s="1087"/>
      <c r="L621" s="1087"/>
      <c r="M621" s="1087"/>
    </row>
    <row r="622" spans="1:13" s="956" customFormat="1" ht="18" customHeight="1" x14ac:dyDescent="0.25">
      <c r="A622" s="957"/>
      <c r="B622" s="957"/>
      <c r="C622" s="957"/>
      <c r="D622" s="957"/>
      <c r="E622" s="957"/>
      <c r="F622" s="957"/>
      <c r="G622" s="957"/>
      <c r="H622" s="957"/>
      <c r="I622" s="957"/>
      <c r="J622" s="957"/>
      <c r="K622" s="957"/>
      <c r="L622" s="957"/>
      <c r="M622" s="957"/>
    </row>
    <row r="623" spans="1:13" s="956" customFormat="1" ht="18" customHeight="1" x14ac:dyDescent="0.25">
      <c r="A623" s="958" t="s">
        <v>1736</v>
      </c>
      <c r="B623" s="957"/>
      <c r="C623" s="959"/>
      <c r="D623" s="957"/>
      <c r="E623" s="957"/>
      <c r="F623" s="957"/>
      <c r="G623" s="957"/>
      <c r="H623" s="957"/>
      <c r="I623" s="957"/>
      <c r="J623" s="957"/>
      <c r="K623" s="957"/>
      <c r="L623" s="957"/>
      <c r="M623" s="957"/>
    </row>
    <row r="624" spans="1:13" s="956" customFormat="1" ht="18" customHeight="1" thickBot="1" x14ac:dyDescent="0.3">
      <c r="A624" s="1087"/>
      <c r="B624" s="1087"/>
      <c r="C624" s="1087"/>
      <c r="D624" s="1087"/>
      <c r="E624" s="1087"/>
      <c r="F624" s="1087"/>
      <c r="G624" s="1087"/>
      <c r="H624" s="1087"/>
      <c r="I624" s="1087"/>
      <c r="J624" s="1087"/>
      <c r="K624" s="1087"/>
      <c r="L624" s="1087"/>
      <c r="M624" s="1087"/>
    </row>
    <row r="625" spans="1:13" ht="18" customHeight="1" x14ac:dyDescent="0.2">
      <c r="A625" s="961"/>
      <c r="B625" s="962"/>
      <c r="C625" s="962"/>
      <c r="D625" s="962"/>
      <c r="E625" s="962"/>
      <c r="F625" s="963"/>
      <c r="G625" s="964"/>
      <c r="H625" s="965"/>
      <c r="I625" s="965"/>
      <c r="J625" s="1089" t="s">
        <v>633</v>
      </c>
      <c r="K625" s="1090"/>
      <c r="L625" s="1091"/>
      <c r="M625" s="966"/>
    </row>
    <row r="626" spans="1:13" ht="18" customHeight="1" x14ac:dyDescent="0.2">
      <c r="A626" s="1092"/>
      <c r="B626" s="1093"/>
      <c r="C626" s="1093"/>
      <c r="D626" s="1093"/>
      <c r="E626" s="1093"/>
      <c r="F626" s="1094"/>
      <c r="G626" s="967"/>
      <c r="H626" s="968"/>
      <c r="I626" s="968" t="s">
        <v>6</v>
      </c>
      <c r="J626" s="968" t="s">
        <v>580</v>
      </c>
      <c r="K626" s="968" t="s">
        <v>581</v>
      </c>
      <c r="L626" s="968"/>
      <c r="M626" s="969" t="s">
        <v>7</v>
      </c>
    </row>
    <row r="627" spans="1:13" ht="18" customHeight="1" x14ac:dyDescent="0.25">
      <c r="A627" s="1092" t="s">
        <v>22</v>
      </c>
      <c r="B627" s="1093"/>
      <c r="C627" s="1093"/>
      <c r="D627" s="1093"/>
      <c r="E627" s="1093"/>
      <c r="F627" s="1094"/>
      <c r="G627" s="970"/>
      <c r="H627" s="971" t="s">
        <v>634</v>
      </c>
      <c r="I627" s="968" t="s">
        <v>579</v>
      </c>
      <c r="J627" s="968" t="s">
        <v>579</v>
      </c>
      <c r="K627" s="968" t="s">
        <v>582</v>
      </c>
      <c r="L627" s="968" t="s">
        <v>15</v>
      </c>
      <c r="M627" s="969" t="s">
        <v>584</v>
      </c>
    </row>
    <row r="628" spans="1:13" ht="18" customHeight="1" x14ac:dyDescent="0.2">
      <c r="A628" s="972"/>
      <c r="B628" s="973"/>
      <c r="C628" s="973"/>
      <c r="D628" s="973"/>
      <c r="E628" s="973"/>
      <c r="F628" s="974"/>
      <c r="G628" s="970"/>
      <c r="H628" s="968"/>
      <c r="I628" s="968">
        <v>2019</v>
      </c>
      <c r="J628" s="968">
        <v>2020</v>
      </c>
      <c r="K628" s="968">
        <v>2020</v>
      </c>
      <c r="L628" s="968">
        <v>2020</v>
      </c>
      <c r="M628" s="969">
        <v>2021</v>
      </c>
    </row>
    <row r="629" spans="1:13" ht="18" customHeight="1" thickBot="1" x14ac:dyDescent="0.25">
      <c r="A629" s="1096"/>
      <c r="B629" s="1097"/>
      <c r="C629" s="1097"/>
      <c r="D629" s="1097"/>
      <c r="E629" s="1097"/>
      <c r="F629" s="1098"/>
      <c r="G629" s="975"/>
      <c r="H629" s="976"/>
      <c r="I629" s="976"/>
      <c r="J629" s="976"/>
      <c r="K629" s="976"/>
      <c r="L629" s="976"/>
      <c r="M629" s="977"/>
    </row>
    <row r="630" spans="1:13" ht="18" customHeight="1" x14ac:dyDescent="0.25">
      <c r="A630" s="978"/>
      <c r="B630" s="979" t="s">
        <v>372</v>
      </c>
      <c r="C630" s="980"/>
      <c r="D630" s="979"/>
      <c r="E630" s="979"/>
      <c r="F630" s="981"/>
      <c r="G630" s="982"/>
      <c r="H630" s="1028"/>
      <c r="I630" s="1029"/>
      <c r="J630" s="1030"/>
      <c r="K630" s="1030"/>
      <c r="L630" s="1030"/>
      <c r="M630" s="1030"/>
    </row>
    <row r="631" spans="1:13" ht="18" customHeight="1" x14ac:dyDescent="0.25">
      <c r="A631" s="986"/>
      <c r="B631" s="987"/>
      <c r="C631" s="987" t="s">
        <v>532</v>
      </c>
      <c r="D631" s="987"/>
      <c r="E631" s="987"/>
      <c r="F631" s="988"/>
      <c r="G631" s="989"/>
      <c r="H631" s="1031"/>
      <c r="I631" s="1032"/>
      <c r="J631" s="1033"/>
      <c r="K631" s="1033"/>
      <c r="L631" s="1033"/>
      <c r="M631" s="1033"/>
    </row>
    <row r="632" spans="1:13" ht="18" customHeight="1" x14ac:dyDescent="0.25">
      <c r="A632" s="986"/>
      <c r="B632" s="987"/>
      <c r="C632" s="987"/>
      <c r="D632" s="987" t="s">
        <v>533</v>
      </c>
      <c r="E632" s="987"/>
      <c r="F632" s="988"/>
      <c r="G632" s="989" t="s">
        <v>603</v>
      </c>
      <c r="H632" s="993" t="s">
        <v>698</v>
      </c>
      <c r="I632" s="994">
        <v>1547148</v>
      </c>
      <c r="J632" s="995">
        <v>802848</v>
      </c>
      <c r="K632" s="995">
        <f>1605696-J632</f>
        <v>802848</v>
      </c>
      <c r="L632" s="995">
        <f>SUM(K632+J632)</f>
        <v>1605696</v>
      </c>
      <c r="M632" s="995">
        <v>1667370</v>
      </c>
    </row>
    <row r="633" spans="1:13" ht="18" customHeight="1" x14ac:dyDescent="0.25">
      <c r="A633" s="986"/>
      <c r="B633" s="987"/>
      <c r="C633" s="987" t="s">
        <v>534</v>
      </c>
      <c r="D633" s="987"/>
      <c r="E633" s="987"/>
      <c r="F633" s="988"/>
      <c r="G633" s="989"/>
      <c r="H633" s="1031"/>
      <c r="I633" s="994"/>
      <c r="J633" s="995"/>
      <c r="K633" s="995"/>
      <c r="L633" s="995"/>
      <c r="M633" s="995"/>
    </row>
    <row r="634" spans="1:13" ht="18" customHeight="1" x14ac:dyDescent="0.25">
      <c r="A634" s="986"/>
      <c r="B634" s="987"/>
      <c r="C634" s="987"/>
      <c r="D634" s="987" t="s">
        <v>535</v>
      </c>
      <c r="E634" s="987"/>
      <c r="F634" s="988"/>
      <c r="G634" s="989" t="s">
        <v>604</v>
      </c>
      <c r="H634" s="993" t="s">
        <v>699</v>
      </c>
      <c r="I634" s="994">
        <v>96000</v>
      </c>
      <c r="J634" s="995">
        <v>48000</v>
      </c>
      <c r="K634" s="995">
        <f>96000-J634</f>
        <v>48000</v>
      </c>
      <c r="L634" s="995">
        <f t="shared" ref="L634:L651" si="19">SUM(K634+J634)</f>
        <v>96000</v>
      </c>
      <c r="M634" s="995">
        <v>96000</v>
      </c>
    </row>
    <row r="635" spans="1:13" ht="18" customHeight="1" x14ac:dyDescent="0.25">
      <c r="A635" s="986"/>
      <c r="B635" s="987"/>
      <c r="C635" s="987"/>
      <c r="D635" s="987" t="s">
        <v>546</v>
      </c>
      <c r="E635" s="987"/>
      <c r="F635" s="988"/>
      <c r="G635" s="989" t="s">
        <v>605</v>
      </c>
      <c r="H635" s="993" t="s">
        <v>700</v>
      </c>
      <c r="I635" s="994">
        <v>76500</v>
      </c>
      <c r="J635" s="995">
        <v>38250</v>
      </c>
      <c r="K635" s="995">
        <f>76500-J635</f>
        <v>38250</v>
      </c>
      <c r="L635" s="995">
        <f t="shared" si="19"/>
        <v>76500</v>
      </c>
      <c r="M635" s="995">
        <v>76500</v>
      </c>
    </row>
    <row r="636" spans="1:13" ht="18" customHeight="1" x14ac:dyDescent="0.25">
      <c r="A636" s="986"/>
      <c r="B636" s="987"/>
      <c r="C636" s="987"/>
      <c r="D636" s="987" t="s">
        <v>545</v>
      </c>
      <c r="E636" s="987"/>
      <c r="F636" s="988"/>
      <c r="G636" s="989" t="s">
        <v>606</v>
      </c>
      <c r="H636" s="993" t="s">
        <v>701</v>
      </c>
      <c r="I636" s="994">
        <v>76500</v>
      </c>
      <c r="J636" s="995">
        <v>38250</v>
      </c>
      <c r="K636" s="995">
        <f>76500-J636</f>
        <v>38250</v>
      </c>
      <c r="L636" s="995">
        <f t="shared" si="19"/>
        <v>76500</v>
      </c>
      <c r="M636" s="995">
        <v>76500</v>
      </c>
    </row>
    <row r="637" spans="1:13" ht="18" customHeight="1" x14ac:dyDescent="0.25">
      <c r="A637" s="986"/>
      <c r="B637" s="987"/>
      <c r="C637" s="987"/>
      <c r="D637" s="987" t="s">
        <v>547</v>
      </c>
      <c r="E637" s="987"/>
      <c r="F637" s="988"/>
      <c r="G637" s="989" t="s">
        <v>607</v>
      </c>
      <c r="H637" s="993" t="s">
        <v>702</v>
      </c>
      <c r="I637" s="994">
        <v>24000</v>
      </c>
      <c r="J637" s="995">
        <v>24000</v>
      </c>
      <c r="K637" s="995">
        <f>24000-J637</f>
        <v>0</v>
      </c>
      <c r="L637" s="995">
        <f t="shared" si="19"/>
        <v>24000</v>
      </c>
      <c r="M637" s="995">
        <v>24000</v>
      </c>
    </row>
    <row r="638" spans="1:13" ht="18" customHeight="1" x14ac:dyDescent="0.25">
      <c r="A638" s="986"/>
      <c r="B638" s="987"/>
      <c r="C638" s="987"/>
      <c r="D638" s="987" t="s">
        <v>1579</v>
      </c>
      <c r="E638" s="987"/>
      <c r="F638" s="988"/>
      <c r="G638" s="989" t="s">
        <v>608</v>
      </c>
      <c r="H638" s="993" t="s">
        <v>719</v>
      </c>
      <c r="I638" s="994">
        <v>33828.6</v>
      </c>
      <c r="J638" s="995">
        <v>11350</v>
      </c>
      <c r="K638" s="995">
        <f>72000-J638</f>
        <v>60650</v>
      </c>
      <c r="L638" s="995">
        <f t="shared" si="19"/>
        <v>72000</v>
      </c>
      <c r="M638" s="995">
        <v>72000</v>
      </c>
    </row>
    <row r="639" spans="1:13" ht="18" customHeight="1" x14ac:dyDescent="0.25">
      <c r="A639" s="986"/>
      <c r="B639" s="987"/>
      <c r="C639" s="987"/>
      <c r="D639" s="987" t="s">
        <v>696</v>
      </c>
      <c r="E639" s="987"/>
      <c r="F639" s="988"/>
      <c r="G639" s="989" t="s">
        <v>609</v>
      </c>
      <c r="H639" s="993" t="s">
        <v>703</v>
      </c>
      <c r="I639" s="994">
        <v>20000</v>
      </c>
      <c r="J639" s="995">
        <v>0</v>
      </c>
      <c r="K639" s="995">
        <f>20000-J639</f>
        <v>20000</v>
      </c>
      <c r="L639" s="995">
        <f t="shared" si="19"/>
        <v>20000</v>
      </c>
      <c r="M639" s="995">
        <v>20000</v>
      </c>
    </row>
    <row r="640" spans="1:13" ht="18" customHeight="1" x14ac:dyDescent="0.25">
      <c r="A640" s="986"/>
      <c r="B640" s="987"/>
      <c r="C640" s="987"/>
      <c r="D640" s="987" t="s">
        <v>549</v>
      </c>
      <c r="E640" s="987"/>
      <c r="F640" s="988"/>
      <c r="G640" s="989" t="s">
        <v>440</v>
      </c>
      <c r="H640" s="993" t="s">
        <v>704</v>
      </c>
      <c r="I640" s="994">
        <v>5000</v>
      </c>
      <c r="J640" s="995">
        <v>0</v>
      </c>
      <c r="K640" s="995">
        <f>0-J640</f>
        <v>0</v>
      </c>
      <c r="L640" s="995">
        <f t="shared" si="19"/>
        <v>0</v>
      </c>
      <c r="M640" s="995">
        <v>5000</v>
      </c>
    </row>
    <row r="641" spans="1:13" ht="18" customHeight="1" x14ac:dyDescent="0.25">
      <c r="A641" s="986"/>
      <c r="B641" s="987"/>
      <c r="C641" s="987"/>
      <c r="D641" s="987" t="s">
        <v>1562</v>
      </c>
      <c r="E641" s="987"/>
      <c r="F641" s="988"/>
      <c r="G641" s="989"/>
      <c r="H641" s="993" t="s">
        <v>704</v>
      </c>
      <c r="I641" s="994">
        <v>42424.08</v>
      </c>
      <c r="J641" s="995">
        <v>83803.850000000006</v>
      </c>
      <c r="K641" s="995">
        <f>83803.85-J641</f>
        <v>0</v>
      </c>
      <c r="L641" s="995">
        <f t="shared" si="19"/>
        <v>83803.850000000006</v>
      </c>
      <c r="M641" s="995">
        <v>0</v>
      </c>
    </row>
    <row r="642" spans="1:13" ht="18" customHeight="1" x14ac:dyDescent="0.25">
      <c r="A642" s="986"/>
      <c r="B642" s="987"/>
      <c r="C642" s="987"/>
      <c r="D642" s="987" t="s">
        <v>551</v>
      </c>
      <c r="E642" s="987"/>
      <c r="F642" s="988"/>
      <c r="G642" s="989" t="s">
        <v>610</v>
      </c>
      <c r="H642" s="993" t="s">
        <v>720</v>
      </c>
      <c r="I642" s="994">
        <v>81814.600000000006</v>
      </c>
      <c r="J642" s="995">
        <v>26908.2</v>
      </c>
      <c r="K642" s="995">
        <f>107632.8-J642</f>
        <v>80724.600000000006</v>
      </c>
      <c r="L642" s="995">
        <f t="shared" si="19"/>
        <v>107632.8</v>
      </c>
      <c r="M642" s="995">
        <v>107632.8</v>
      </c>
    </row>
    <row r="643" spans="1:13" ht="18" customHeight="1" x14ac:dyDescent="0.25">
      <c r="A643" s="986"/>
      <c r="B643" s="987"/>
      <c r="C643" s="987"/>
      <c r="D643" s="987" t="s">
        <v>552</v>
      </c>
      <c r="E643" s="987"/>
      <c r="F643" s="988"/>
      <c r="G643" s="989" t="s">
        <v>612</v>
      </c>
      <c r="H643" s="993" t="s">
        <v>705</v>
      </c>
      <c r="I643" s="994">
        <v>20000</v>
      </c>
      <c r="J643" s="995">
        <v>0</v>
      </c>
      <c r="K643" s="995">
        <f>20000-J643</f>
        <v>20000</v>
      </c>
      <c r="L643" s="995">
        <f t="shared" si="19"/>
        <v>20000</v>
      </c>
      <c r="M643" s="995">
        <v>20000</v>
      </c>
    </row>
    <row r="644" spans="1:13" ht="18" customHeight="1" x14ac:dyDescent="0.25">
      <c r="A644" s="986"/>
      <c r="B644" s="987"/>
      <c r="C644" s="987"/>
      <c r="D644" s="987" t="s">
        <v>816</v>
      </c>
      <c r="E644" s="987"/>
      <c r="F644" s="987"/>
      <c r="G644" s="997" t="s">
        <v>440</v>
      </c>
      <c r="H644" s="993" t="s">
        <v>704</v>
      </c>
      <c r="I644" s="994">
        <v>128929</v>
      </c>
      <c r="J644" s="995">
        <v>133808</v>
      </c>
      <c r="K644" s="995">
        <f>133808-J644</f>
        <v>0</v>
      </c>
      <c r="L644" s="995">
        <f t="shared" si="19"/>
        <v>133808</v>
      </c>
      <c r="M644" s="995">
        <v>138682</v>
      </c>
    </row>
    <row r="645" spans="1:13" ht="18" customHeight="1" x14ac:dyDescent="0.25">
      <c r="A645" s="986"/>
      <c r="B645" s="987"/>
      <c r="C645" s="987"/>
      <c r="D645" s="987" t="s">
        <v>553</v>
      </c>
      <c r="E645" s="987"/>
      <c r="F645" s="988"/>
      <c r="G645" s="989" t="s">
        <v>613</v>
      </c>
      <c r="H645" s="993" t="s">
        <v>706</v>
      </c>
      <c r="I645" s="994">
        <v>128929</v>
      </c>
      <c r="J645" s="995">
        <v>0</v>
      </c>
      <c r="K645" s="995">
        <f>133808-J645</f>
        <v>133808</v>
      </c>
      <c r="L645" s="995">
        <f t="shared" si="19"/>
        <v>133808</v>
      </c>
      <c r="M645" s="995">
        <v>139166</v>
      </c>
    </row>
    <row r="646" spans="1:13" ht="18" customHeight="1" x14ac:dyDescent="0.25">
      <c r="A646" s="986"/>
      <c r="B646" s="987"/>
      <c r="C646" s="987"/>
      <c r="D646" s="987" t="s">
        <v>669</v>
      </c>
      <c r="E646" s="987"/>
      <c r="F646" s="988"/>
      <c r="G646" s="989" t="s">
        <v>614</v>
      </c>
      <c r="H646" s="993" t="s">
        <v>707</v>
      </c>
      <c r="I646" s="994">
        <f>167391.96+18265.8</f>
        <v>185657.75999999998</v>
      </c>
      <c r="J646" s="995">
        <v>77357.399999999994</v>
      </c>
      <c r="K646" s="995">
        <f>193100-J646</f>
        <v>115742.6</v>
      </c>
      <c r="L646" s="995">
        <f t="shared" si="19"/>
        <v>193100</v>
      </c>
      <c r="M646" s="995">
        <v>201000</v>
      </c>
    </row>
    <row r="647" spans="1:13" ht="18" customHeight="1" x14ac:dyDescent="0.25">
      <c r="A647" s="986"/>
      <c r="B647" s="987"/>
      <c r="C647" s="987"/>
      <c r="D647" s="987" t="s">
        <v>554</v>
      </c>
      <c r="E647" s="987"/>
      <c r="F647" s="988"/>
      <c r="G647" s="989" t="s">
        <v>615</v>
      </c>
      <c r="H647" s="993" t="s">
        <v>708</v>
      </c>
      <c r="I647" s="994">
        <v>4800</v>
      </c>
      <c r="J647" s="995">
        <v>2000</v>
      </c>
      <c r="K647" s="995">
        <f>4800-J647</f>
        <v>2800</v>
      </c>
      <c r="L647" s="995">
        <f t="shared" si="19"/>
        <v>4800</v>
      </c>
      <c r="M647" s="995">
        <v>7200</v>
      </c>
    </row>
    <row r="648" spans="1:13" ht="18" customHeight="1" x14ac:dyDescent="0.25">
      <c r="A648" s="986"/>
      <c r="B648" s="987"/>
      <c r="C648" s="987"/>
      <c r="D648" s="987" t="s">
        <v>555</v>
      </c>
      <c r="E648" s="987"/>
      <c r="F648" s="988"/>
      <c r="G648" s="989" t="s">
        <v>616</v>
      </c>
      <c r="H648" s="993" t="s">
        <v>709</v>
      </c>
      <c r="I648" s="994">
        <v>14643.75</v>
      </c>
      <c r="J648" s="995">
        <v>8190</v>
      </c>
      <c r="K648" s="995">
        <f>24900-J648</f>
        <v>16710</v>
      </c>
      <c r="L648" s="995">
        <f t="shared" si="19"/>
        <v>24900</v>
      </c>
      <c r="M648" s="995">
        <v>30000</v>
      </c>
    </row>
    <row r="649" spans="1:13" ht="18" customHeight="1" x14ac:dyDescent="0.25">
      <c r="A649" s="986"/>
      <c r="B649" s="987"/>
      <c r="C649" s="987"/>
      <c r="D649" s="987" t="s">
        <v>665</v>
      </c>
      <c r="E649" s="987"/>
      <c r="F649" s="988"/>
      <c r="G649" s="989" t="s">
        <v>617</v>
      </c>
      <c r="H649" s="993" t="s">
        <v>710</v>
      </c>
      <c r="I649" s="994">
        <f>4400+400</f>
        <v>4800</v>
      </c>
      <c r="J649" s="995">
        <v>2000</v>
      </c>
      <c r="K649" s="995">
        <f>4800-J649</f>
        <v>2800</v>
      </c>
      <c r="L649" s="995">
        <f t="shared" si="19"/>
        <v>4800</v>
      </c>
      <c r="M649" s="995">
        <v>4800</v>
      </c>
    </row>
    <row r="650" spans="1:13" ht="18" customHeight="1" x14ac:dyDescent="0.25">
      <c r="A650" s="986"/>
      <c r="B650" s="987"/>
      <c r="C650" s="987"/>
      <c r="D650" s="987" t="s">
        <v>557</v>
      </c>
      <c r="E650" s="987"/>
      <c r="F650" s="988"/>
      <c r="G650" s="989" t="s">
        <v>403</v>
      </c>
      <c r="H650" s="993" t="s">
        <v>722</v>
      </c>
      <c r="I650" s="994">
        <v>0</v>
      </c>
      <c r="J650" s="995">
        <v>101472.57</v>
      </c>
      <c r="K650" s="995">
        <f>101472.57-J650</f>
        <v>0</v>
      </c>
      <c r="L650" s="995">
        <f t="shared" si="19"/>
        <v>101472.57</v>
      </c>
      <c r="M650" s="995">
        <v>0</v>
      </c>
    </row>
    <row r="651" spans="1:13" ht="18" customHeight="1" x14ac:dyDescent="0.25">
      <c r="A651" s="986"/>
      <c r="B651" s="987"/>
      <c r="C651" s="987"/>
      <c r="D651" s="987" t="s">
        <v>1563</v>
      </c>
      <c r="E651" s="987"/>
      <c r="F651" s="988"/>
      <c r="G651" s="989"/>
      <c r="H651" s="993" t="s">
        <v>722</v>
      </c>
      <c r="I651" s="994">
        <v>40000</v>
      </c>
      <c r="J651" s="995">
        <v>0</v>
      </c>
      <c r="K651" s="995">
        <v>0</v>
      </c>
      <c r="L651" s="995">
        <f t="shared" si="19"/>
        <v>0</v>
      </c>
      <c r="M651" s="995">
        <v>0</v>
      </c>
    </row>
    <row r="652" spans="1:13" ht="18" customHeight="1" x14ac:dyDescent="0.25">
      <c r="A652" s="998"/>
      <c r="B652" s="999"/>
      <c r="C652" s="999"/>
      <c r="D652" s="999" t="s">
        <v>377</v>
      </c>
      <c r="E652" s="999"/>
      <c r="F652" s="1000"/>
      <c r="G652" s="1001"/>
      <c r="H652" s="1034"/>
      <c r="I652" s="1002">
        <f>SUM(I632:I651)</f>
        <v>2530974.79</v>
      </c>
      <c r="J652" s="1002">
        <f>SUM(J632:J651)</f>
        <v>1398238.02</v>
      </c>
      <c r="K652" s="1002">
        <f>SUM(K632:K651)</f>
        <v>1380583.2000000002</v>
      </c>
      <c r="L652" s="1002">
        <f>SUM(L632:L651)</f>
        <v>2778821.2199999997</v>
      </c>
      <c r="M652" s="1002">
        <f>SUM(M632:M651)</f>
        <v>2685850.8</v>
      </c>
    </row>
    <row r="653" spans="1:13" ht="18" customHeight="1" x14ac:dyDescent="0.25">
      <c r="A653" s="986"/>
      <c r="B653" s="987" t="s">
        <v>558</v>
      </c>
      <c r="C653" s="987"/>
      <c r="D653" s="987"/>
      <c r="E653" s="987"/>
      <c r="F653" s="988"/>
      <c r="G653" s="989"/>
      <c r="H653" s="1031"/>
      <c r="I653" s="994"/>
      <c r="J653" s="995"/>
      <c r="K653" s="995"/>
      <c r="L653" s="995"/>
      <c r="M653" s="995"/>
    </row>
    <row r="654" spans="1:13" ht="18" customHeight="1" x14ac:dyDescent="0.25">
      <c r="A654" s="986"/>
      <c r="B654" s="987"/>
      <c r="C654" s="987"/>
      <c r="D654" s="987" t="s">
        <v>559</v>
      </c>
      <c r="E654" s="987"/>
      <c r="F654" s="988"/>
      <c r="G654" s="989" t="s">
        <v>390</v>
      </c>
      <c r="H654" s="993" t="s">
        <v>712</v>
      </c>
      <c r="I654" s="994">
        <v>77258.399999999994</v>
      </c>
      <c r="J654" s="995">
        <v>3815</v>
      </c>
      <c r="K654" s="995">
        <f>120000-J654</f>
        <v>116185</v>
      </c>
      <c r="L654" s="995">
        <f t="shared" ref="L654:L661" si="20">SUM(K654+J654)</f>
        <v>120000</v>
      </c>
      <c r="M654" s="995">
        <f>120000-12000</f>
        <v>108000</v>
      </c>
    </row>
    <row r="655" spans="1:13" ht="18" customHeight="1" x14ac:dyDescent="0.25">
      <c r="A655" s="986"/>
      <c r="B655" s="987"/>
      <c r="C655" s="987"/>
      <c r="D655" s="987" t="s">
        <v>436</v>
      </c>
      <c r="E655" s="987"/>
      <c r="F655" s="988"/>
      <c r="G655" s="989" t="s">
        <v>391</v>
      </c>
      <c r="H655" s="993" t="s">
        <v>713</v>
      </c>
      <c r="I655" s="994">
        <v>96881</v>
      </c>
      <c r="J655" s="995">
        <v>7000</v>
      </c>
      <c r="K655" s="995">
        <f>120000-J655</f>
        <v>113000</v>
      </c>
      <c r="L655" s="995">
        <f t="shared" si="20"/>
        <v>120000</v>
      </c>
      <c r="M655" s="995">
        <v>120000</v>
      </c>
    </row>
    <row r="656" spans="1:13" ht="18" customHeight="1" x14ac:dyDescent="0.25">
      <c r="A656" s="986"/>
      <c r="B656" s="987"/>
      <c r="C656" s="987"/>
      <c r="D656" s="987" t="s">
        <v>384</v>
      </c>
      <c r="E656" s="987"/>
      <c r="F656" s="988"/>
      <c r="G656" s="989" t="s">
        <v>393</v>
      </c>
      <c r="H656" s="993" t="s">
        <v>714</v>
      </c>
      <c r="I656" s="994">
        <v>126174</v>
      </c>
      <c r="J656" s="995">
        <v>114797</v>
      </c>
      <c r="K656" s="995">
        <f>160000-J656</f>
        <v>45203</v>
      </c>
      <c r="L656" s="995">
        <f t="shared" si="20"/>
        <v>160000</v>
      </c>
      <c r="M656" s="995">
        <f>180000-20000</f>
        <v>160000</v>
      </c>
    </row>
    <row r="657" spans="1:13" ht="18" customHeight="1" x14ac:dyDescent="0.25">
      <c r="A657" s="986"/>
      <c r="B657" s="987"/>
      <c r="C657" s="987"/>
      <c r="D657" s="987" t="s">
        <v>563</v>
      </c>
      <c r="E657" s="987"/>
      <c r="F657" s="988"/>
      <c r="G657" s="989" t="s">
        <v>622</v>
      </c>
      <c r="H657" s="993" t="s">
        <v>715</v>
      </c>
      <c r="I657" s="994">
        <v>674</v>
      </c>
      <c r="J657" s="995">
        <v>0</v>
      </c>
      <c r="K657" s="995">
        <f>1200-J657</f>
        <v>1200</v>
      </c>
      <c r="L657" s="995">
        <f t="shared" si="20"/>
        <v>1200</v>
      </c>
      <c r="M657" s="995">
        <v>1200</v>
      </c>
    </row>
    <row r="658" spans="1:13" ht="18" customHeight="1" x14ac:dyDescent="0.25">
      <c r="A658" s="986"/>
      <c r="B658" s="987"/>
      <c r="C658" s="987"/>
      <c r="D658" s="987" t="s">
        <v>565</v>
      </c>
      <c r="E658" s="987"/>
      <c r="F658" s="988"/>
      <c r="G658" s="989" t="s">
        <v>394</v>
      </c>
      <c r="H658" s="993" t="s">
        <v>716</v>
      </c>
      <c r="I658" s="994">
        <v>24000</v>
      </c>
      <c r="J658" s="995">
        <v>12000</v>
      </c>
      <c r="K658" s="995">
        <f>24000-J658</f>
        <v>12000</v>
      </c>
      <c r="L658" s="995">
        <f t="shared" si="20"/>
        <v>24000</v>
      </c>
      <c r="M658" s="995">
        <f>24000+12000</f>
        <v>36000</v>
      </c>
    </row>
    <row r="659" spans="1:13" ht="18" customHeight="1" x14ac:dyDescent="0.25">
      <c r="A659" s="986"/>
      <c r="B659" s="987"/>
      <c r="C659" s="987"/>
      <c r="D659" s="987" t="s">
        <v>945</v>
      </c>
      <c r="E659" s="987"/>
      <c r="F659" s="988"/>
      <c r="G659" s="989" t="s">
        <v>395</v>
      </c>
      <c r="H659" s="993" t="s">
        <v>717</v>
      </c>
      <c r="I659" s="994">
        <v>3424</v>
      </c>
      <c r="J659" s="995">
        <v>0</v>
      </c>
      <c r="K659" s="995">
        <f>20000-J659</f>
        <v>20000</v>
      </c>
      <c r="L659" s="995">
        <f t="shared" si="20"/>
        <v>20000</v>
      </c>
      <c r="M659" s="995">
        <v>20000</v>
      </c>
    </row>
    <row r="660" spans="1:13" ht="18" customHeight="1" x14ac:dyDescent="0.25">
      <c r="A660" s="986"/>
      <c r="B660" s="987"/>
      <c r="C660" s="987"/>
      <c r="D660" s="987" t="s">
        <v>570</v>
      </c>
      <c r="E660" s="987"/>
      <c r="F660" s="988"/>
      <c r="G660" s="989" t="s">
        <v>627</v>
      </c>
      <c r="H660" s="993" t="s">
        <v>730</v>
      </c>
      <c r="I660" s="994">
        <v>798990.03</v>
      </c>
      <c r="J660" s="995">
        <v>248575</v>
      </c>
      <c r="K660" s="995">
        <f>1200000-J660</f>
        <v>951425</v>
      </c>
      <c r="L660" s="995">
        <f t="shared" si="20"/>
        <v>1200000</v>
      </c>
      <c r="M660" s="995">
        <v>1837840</v>
      </c>
    </row>
    <row r="661" spans="1:13" ht="18" customHeight="1" x14ac:dyDescent="0.25">
      <c r="A661" s="986"/>
      <c r="B661" s="987"/>
      <c r="C661" s="987"/>
      <c r="D661" s="987" t="s">
        <v>572</v>
      </c>
      <c r="E661" s="987"/>
      <c r="F661" s="988"/>
      <c r="G661" s="989" t="s">
        <v>396</v>
      </c>
      <c r="H661" s="993" t="s">
        <v>718</v>
      </c>
      <c r="I661" s="994">
        <v>147878</v>
      </c>
      <c r="J661" s="995">
        <v>1000</v>
      </c>
      <c r="K661" s="995">
        <f>50000-J661</f>
        <v>49000</v>
      </c>
      <c r="L661" s="995">
        <f t="shared" si="20"/>
        <v>50000</v>
      </c>
      <c r="M661" s="995">
        <v>150000</v>
      </c>
    </row>
    <row r="662" spans="1:13" ht="18" customHeight="1" x14ac:dyDescent="0.25">
      <c r="A662" s="998"/>
      <c r="B662" s="999"/>
      <c r="C662" s="999"/>
      <c r="D662" s="999" t="s">
        <v>763</v>
      </c>
      <c r="E662" s="999"/>
      <c r="F662" s="1000"/>
      <c r="G662" s="1001"/>
      <c r="H662" s="1034"/>
      <c r="I662" s="1002">
        <f>SUM(I654:I661)</f>
        <v>1275279.4300000002</v>
      </c>
      <c r="J662" s="1002">
        <f>SUM(J654:J661)</f>
        <v>387187</v>
      </c>
      <c r="K662" s="1002">
        <f>SUM(K654:K661)</f>
        <v>1308013</v>
      </c>
      <c r="L662" s="1002">
        <f>SUM(L654:L661)</f>
        <v>1695200</v>
      </c>
      <c r="M662" s="1002">
        <f>SUM(M654:M661)</f>
        <v>2433040</v>
      </c>
    </row>
    <row r="663" spans="1:13" ht="18" customHeight="1" x14ac:dyDescent="0.25">
      <c r="A663" s="986"/>
      <c r="B663" s="987" t="s">
        <v>573</v>
      </c>
      <c r="C663" s="987"/>
      <c r="D663" s="987"/>
      <c r="E663" s="987"/>
      <c r="F663" s="988"/>
      <c r="G663" s="989"/>
      <c r="H663" s="1031"/>
      <c r="I663" s="994"/>
      <c r="J663" s="995"/>
      <c r="K663" s="995"/>
      <c r="L663" s="995"/>
      <c r="M663" s="995"/>
    </row>
    <row r="664" spans="1:13" ht="18" customHeight="1" x14ac:dyDescent="0.25">
      <c r="A664" s="986"/>
      <c r="B664" s="987"/>
      <c r="C664" s="987"/>
      <c r="D664" s="987" t="s">
        <v>1641</v>
      </c>
      <c r="E664" s="987"/>
      <c r="F664" s="988"/>
      <c r="G664" s="989" t="s">
        <v>859</v>
      </c>
      <c r="H664" s="993" t="s">
        <v>860</v>
      </c>
      <c r="I664" s="994">
        <v>39990</v>
      </c>
      <c r="J664" s="995">
        <v>0</v>
      </c>
      <c r="K664" s="995">
        <f>50000-J664</f>
        <v>50000</v>
      </c>
      <c r="L664" s="995">
        <f>J664+K664</f>
        <v>50000</v>
      </c>
      <c r="M664" s="995">
        <f>115000+5000</f>
        <v>120000</v>
      </c>
    </row>
    <row r="665" spans="1:13" ht="18" customHeight="1" x14ac:dyDescent="0.25">
      <c r="A665" s="986"/>
      <c r="B665" s="987"/>
      <c r="C665" s="987"/>
      <c r="D665" s="987" t="s">
        <v>858</v>
      </c>
      <c r="E665" s="987"/>
      <c r="F665" s="988"/>
      <c r="G665" s="989" t="s">
        <v>861</v>
      </c>
      <c r="H665" s="993" t="s">
        <v>1640</v>
      </c>
      <c r="I665" s="994">
        <v>51990</v>
      </c>
      <c r="J665" s="995">
        <v>0</v>
      </c>
      <c r="K665" s="995">
        <f>60000-J665</f>
        <v>60000</v>
      </c>
      <c r="L665" s="995">
        <f>J665+K665</f>
        <v>60000</v>
      </c>
      <c r="M665" s="995">
        <v>0</v>
      </c>
    </row>
    <row r="666" spans="1:13" ht="18" customHeight="1" x14ac:dyDescent="0.25">
      <c r="A666" s="986"/>
      <c r="B666" s="987"/>
      <c r="C666" s="987"/>
      <c r="D666" s="987" t="s">
        <v>868</v>
      </c>
      <c r="E666" s="987"/>
      <c r="F666" s="988"/>
      <c r="G666" s="989"/>
      <c r="H666" s="993" t="s">
        <v>869</v>
      </c>
      <c r="I666" s="994">
        <v>0</v>
      </c>
      <c r="J666" s="995">
        <v>0</v>
      </c>
      <c r="K666" s="995">
        <v>0</v>
      </c>
      <c r="L666" s="995">
        <f>J666+K666</f>
        <v>0</v>
      </c>
      <c r="M666" s="995">
        <f>20000</f>
        <v>20000</v>
      </c>
    </row>
    <row r="667" spans="1:13" ht="18" customHeight="1" x14ac:dyDescent="0.25">
      <c r="A667" s="986"/>
      <c r="B667" s="987"/>
      <c r="C667" s="987"/>
      <c r="D667" s="987" t="s">
        <v>1629</v>
      </c>
      <c r="E667" s="987"/>
      <c r="F667" s="988"/>
      <c r="G667" s="989" t="s">
        <v>863</v>
      </c>
      <c r="H667" s="993" t="s">
        <v>864</v>
      </c>
      <c r="I667" s="994">
        <v>14994</v>
      </c>
      <c r="J667" s="995">
        <v>0</v>
      </c>
      <c r="K667" s="995">
        <f>0-J667</f>
        <v>0</v>
      </c>
      <c r="L667" s="995">
        <f>J667+K667</f>
        <v>0</v>
      </c>
      <c r="M667" s="995">
        <v>50000</v>
      </c>
    </row>
    <row r="668" spans="1:13" ht="18" customHeight="1" x14ac:dyDescent="0.25">
      <c r="A668" s="998"/>
      <c r="B668" s="999"/>
      <c r="C668" s="999"/>
      <c r="D668" s="999" t="s">
        <v>808</v>
      </c>
      <c r="E668" s="999"/>
      <c r="F668" s="1000"/>
      <c r="G668" s="1001"/>
      <c r="H668" s="1034"/>
      <c r="I668" s="1002">
        <f>SUM(I664:I667)</f>
        <v>106974</v>
      </c>
      <c r="J668" s="1002">
        <f>SUM(J664:J667)</f>
        <v>0</v>
      </c>
      <c r="K668" s="1002">
        <f>SUM(K664:K667)</f>
        <v>110000</v>
      </c>
      <c r="L668" s="1002">
        <f>SUM(L664:L667)</f>
        <v>110000</v>
      </c>
      <c r="M668" s="1002">
        <f>SUM(M664:M667)</f>
        <v>190000</v>
      </c>
    </row>
    <row r="669" spans="1:13" ht="18" customHeight="1" x14ac:dyDescent="0.25">
      <c r="A669" s="998"/>
      <c r="B669" s="999"/>
      <c r="C669" s="999"/>
      <c r="D669" s="999"/>
      <c r="E669" s="999"/>
      <c r="F669" s="1000"/>
      <c r="G669" s="1001"/>
      <c r="H669" s="1034"/>
      <c r="I669" s="1002"/>
      <c r="J669" s="1005"/>
      <c r="K669" s="1005"/>
      <c r="L669" s="1005"/>
      <c r="M669" s="1005"/>
    </row>
    <row r="670" spans="1:13" ht="18" customHeight="1" x14ac:dyDescent="0.25">
      <c r="A670" s="1006" t="s">
        <v>635</v>
      </c>
      <c r="B670" s="1007"/>
      <c r="C670" s="1007"/>
      <c r="D670" s="1007"/>
      <c r="E670" s="1007"/>
      <c r="F670" s="1008"/>
      <c r="G670" s="1009"/>
      <c r="H670" s="1035"/>
      <c r="I670" s="1011">
        <f>SUM(I668+I662+I652)</f>
        <v>3913228.22</v>
      </c>
      <c r="J670" s="1011">
        <f>SUM(J668+J662+J652)</f>
        <v>1785425.02</v>
      </c>
      <c r="K670" s="1011">
        <f>SUM(K668+K662+K652)</f>
        <v>2798596.2</v>
      </c>
      <c r="L670" s="1011">
        <f>SUM(L668+L662+L652)</f>
        <v>4584021.22</v>
      </c>
      <c r="M670" s="1011">
        <f>SUM(M668+M662+M652)</f>
        <v>5308890.8</v>
      </c>
    </row>
    <row r="671" spans="1:13" ht="18" customHeight="1" x14ac:dyDescent="0.25">
      <c r="A671" s="973"/>
      <c r="B671" s="1012"/>
      <c r="C671" s="973"/>
      <c r="D671" s="973"/>
      <c r="E671" s="973"/>
      <c r="F671" s="973"/>
      <c r="G671" s="973"/>
      <c r="H671" s="1013"/>
      <c r="I671" s="1013"/>
      <c r="J671" s="1014"/>
      <c r="K671" s="1014"/>
      <c r="L671" s="1014"/>
      <c r="M671" s="1014"/>
    </row>
    <row r="672" spans="1:13" ht="18" customHeight="1" x14ac:dyDescent="0.25">
      <c r="A672" s="973"/>
      <c r="B672" s="1012"/>
      <c r="C672" s="973"/>
      <c r="D672" s="973"/>
      <c r="E672" s="973"/>
      <c r="F672" s="973"/>
      <c r="G672" s="973"/>
      <c r="H672" s="1013"/>
      <c r="I672" s="1013"/>
      <c r="J672" s="1014"/>
      <c r="K672" s="1014"/>
      <c r="L672" s="1014"/>
      <c r="M672" s="1014"/>
    </row>
    <row r="673" spans="1:13" ht="18" customHeight="1" x14ac:dyDescent="0.25">
      <c r="A673" s="973"/>
      <c r="B673" s="1012"/>
      <c r="C673" s="973"/>
      <c r="D673" s="973"/>
      <c r="E673" s="973"/>
      <c r="F673" s="973"/>
      <c r="G673" s="973"/>
      <c r="H673" s="1013"/>
      <c r="I673" s="1013"/>
      <c r="J673" s="1014"/>
      <c r="K673" s="1014"/>
      <c r="L673" s="1014"/>
      <c r="M673" s="1014"/>
    </row>
    <row r="674" spans="1:13" s="956" customFormat="1" ht="18" customHeight="1" x14ac:dyDescent="0.25">
      <c r="A674" s="953" t="s">
        <v>636</v>
      </c>
      <c r="B674" s="953"/>
      <c r="C674" s="954"/>
      <c r="D674" s="954"/>
      <c r="E674" s="954"/>
      <c r="F674" s="954"/>
      <c r="G674" s="954"/>
      <c r="H674" s="1017"/>
      <c r="I674" s="1017" t="s">
        <v>637</v>
      </c>
      <c r="J674" s="1014"/>
      <c r="K674" s="1018"/>
      <c r="L674" s="1018" t="s">
        <v>264</v>
      </c>
      <c r="M674" s="1014"/>
    </row>
    <row r="675" spans="1:13" s="956" customFormat="1" ht="18" customHeight="1" x14ac:dyDescent="0.25">
      <c r="A675" s="954"/>
      <c r="B675" s="953"/>
      <c r="C675" s="954"/>
      <c r="F675" s="953"/>
      <c r="G675" s="1103"/>
      <c r="H675" s="1103"/>
      <c r="I675" s="1099"/>
      <c r="J675" s="1099"/>
      <c r="K675" s="1014"/>
      <c r="L675" s="1019"/>
      <c r="M675" s="1014"/>
    </row>
    <row r="676" spans="1:13" s="956" customFormat="1" ht="18" customHeight="1" x14ac:dyDescent="0.25">
      <c r="A676" s="953"/>
      <c r="B676" s="953"/>
      <c r="C676" s="953"/>
      <c r="D676" s="1020"/>
      <c r="E676" s="1020"/>
      <c r="F676" s="1021" t="s">
        <v>27</v>
      </c>
      <c r="G676" s="1022"/>
      <c r="H676" s="1023"/>
      <c r="I676" s="1100" t="s">
        <v>17</v>
      </c>
      <c r="J676" s="1100"/>
      <c r="K676" s="1023"/>
      <c r="L676" s="1100" t="s">
        <v>1495</v>
      </c>
      <c r="M676" s="1100"/>
    </row>
    <row r="677" spans="1:13" s="956" customFormat="1" ht="18" customHeight="1" x14ac:dyDescent="0.25">
      <c r="A677" s="954"/>
      <c r="B677" s="953"/>
      <c r="C677" s="954"/>
      <c r="D677" s="954"/>
      <c r="E677" s="954"/>
      <c r="F677" s="1013" t="s">
        <v>1737</v>
      </c>
      <c r="G677" s="1025"/>
      <c r="H677" s="1025"/>
      <c r="I677" s="1101" t="s">
        <v>18</v>
      </c>
      <c r="J677" s="1101"/>
      <c r="K677" s="1026"/>
      <c r="L677" s="1102" t="s">
        <v>14</v>
      </c>
      <c r="M677" s="1102"/>
    </row>
    <row r="678" spans="1:13" s="956" customFormat="1" ht="18" customHeight="1" x14ac:dyDescent="0.25">
      <c r="A678" s="954"/>
      <c r="B678" s="953"/>
      <c r="C678" s="954"/>
      <c r="D678" s="954"/>
      <c r="E678" s="954"/>
      <c r="F678" s="954"/>
      <c r="G678" s="1025"/>
      <c r="H678" s="1013"/>
      <c r="I678" s="1013"/>
      <c r="K678" s="1027"/>
      <c r="L678" s="1027"/>
      <c r="M678" s="1014"/>
    </row>
    <row r="679" spans="1:13" s="956" customFormat="1" ht="18" customHeight="1" x14ac:dyDescent="0.25">
      <c r="A679" s="954"/>
      <c r="B679" s="953"/>
      <c r="C679" s="954"/>
      <c r="D679" s="954"/>
      <c r="E679" s="954"/>
      <c r="F679" s="954"/>
      <c r="G679" s="1025"/>
      <c r="H679" s="1013"/>
      <c r="I679" s="1013"/>
      <c r="K679" s="1027"/>
      <c r="L679" s="1027"/>
      <c r="M679" s="1014"/>
    </row>
    <row r="680" spans="1:13" s="956" customFormat="1" ht="18" customHeight="1" x14ac:dyDescent="0.25">
      <c r="A680" s="954"/>
      <c r="B680" s="953"/>
      <c r="C680" s="954"/>
      <c r="D680" s="954"/>
      <c r="E680" s="954"/>
      <c r="F680" s="954"/>
      <c r="G680" s="1025"/>
      <c r="H680" s="1013"/>
      <c r="I680" s="1013"/>
      <c r="K680" s="1027"/>
      <c r="L680" s="1027"/>
      <c r="M680" s="1014"/>
    </row>
    <row r="681" spans="1:13" s="956" customFormat="1" ht="18" customHeight="1" x14ac:dyDescent="0.25">
      <c r="A681" s="954"/>
      <c r="B681" s="953"/>
      <c r="C681" s="954"/>
      <c r="D681" s="954"/>
      <c r="E681" s="954"/>
      <c r="F681" s="954"/>
      <c r="G681" s="1025"/>
      <c r="H681" s="1013"/>
      <c r="I681" s="1013"/>
      <c r="K681" s="1027"/>
      <c r="L681" s="1027"/>
      <c r="M681" s="1014"/>
    </row>
    <row r="682" spans="1:13" s="956" customFormat="1" ht="18" customHeight="1" x14ac:dyDescent="0.25">
      <c r="A682" s="954"/>
      <c r="B682" s="953"/>
      <c r="C682" s="954"/>
      <c r="D682" s="954"/>
      <c r="E682" s="954"/>
      <c r="F682" s="954"/>
      <c r="G682" s="1025"/>
      <c r="H682" s="1013"/>
      <c r="I682" s="1013"/>
      <c r="K682" s="1027"/>
      <c r="L682" s="1027"/>
      <c r="M682" s="1014"/>
    </row>
    <row r="683" spans="1:13" s="956" customFormat="1" ht="18" customHeight="1" x14ac:dyDescent="0.25">
      <c r="A683" s="954"/>
      <c r="B683" s="953"/>
      <c r="C683" s="954"/>
      <c r="D683" s="954"/>
      <c r="E683" s="954"/>
      <c r="F683" s="954"/>
      <c r="G683" s="1025"/>
      <c r="H683" s="1013"/>
      <c r="I683" s="1013"/>
      <c r="K683" s="1027"/>
      <c r="L683" s="1027"/>
      <c r="M683" s="1014"/>
    </row>
    <row r="684" spans="1:13" s="956" customFormat="1" ht="18" customHeight="1" x14ac:dyDescent="0.25">
      <c r="A684" s="954"/>
      <c r="B684" s="953"/>
      <c r="C684" s="954"/>
      <c r="D684" s="954"/>
      <c r="E684" s="954"/>
      <c r="F684" s="954"/>
      <c r="G684" s="1025"/>
      <c r="H684" s="1013"/>
      <c r="I684" s="1013"/>
      <c r="K684" s="1027"/>
      <c r="L684" s="1027"/>
      <c r="M684" s="1014"/>
    </row>
    <row r="685" spans="1:13" s="956" customFormat="1" ht="18" customHeight="1" x14ac:dyDescent="0.25">
      <c r="A685" s="954"/>
      <c r="B685" s="953"/>
      <c r="C685" s="954"/>
      <c r="D685" s="954"/>
      <c r="E685" s="954"/>
      <c r="F685" s="954"/>
      <c r="G685" s="1025"/>
      <c r="H685" s="1013"/>
      <c r="I685" s="1013"/>
      <c r="K685" s="1027"/>
      <c r="L685" s="1027"/>
      <c r="M685" s="1014"/>
    </row>
    <row r="686" spans="1:13" s="956" customFormat="1" ht="18" customHeight="1" x14ac:dyDescent="0.25">
      <c r="A686" s="954"/>
      <c r="B686" s="953"/>
      <c r="C686" s="954"/>
      <c r="D686" s="954"/>
      <c r="E686" s="954"/>
      <c r="F686" s="954"/>
      <c r="G686" s="1025"/>
      <c r="H686" s="1013"/>
      <c r="I686" s="1013"/>
      <c r="K686" s="1027"/>
      <c r="L686" s="1027"/>
      <c r="M686" s="1014"/>
    </row>
    <row r="687" spans="1:13" s="1041" customFormat="1" ht="20.100000000000001" customHeight="1" x14ac:dyDescent="0.35">
      <c r="A687" s="1095" t="s">
        <v>1733</v>
      </c>
      <c r="B687" s="1095"/>
      <c r="C687" s="1095"/>
      <c r="D687" s="1095"/>
      <c r="E687" s="1095"/>
      <c r="F687" s="1095"/>
      <c r="G687" s="1095"/>
      <c r="H687" s="1095"/>
      <c r="I687" s="1095"/>
      <c r="J687" s="1095"/>
      <c r="K687" s="1095"/>
      <c r="L687" s="1095"/>
      <c r="M687" s="1095"/>
    </row>
    <row r="688" spans="1:13" s="956" customFormat="1" ht="18" customHeight="1" x14ac:dyDescent="0.25">
      <c r="A688" s="953"/>
      <c r="B688" s="954"/>
      <c r="C688" s="954"/>
      <c r="D688" s="954"/>
      <c r="E688" s="954"/>
      <c r="F688" s="954"/>
      <c r="G688" s="954"/>
      <c r="H688" s="954"/>
      <c r="I688" s="954"/>
      <c r="J688" s="954"/>
      <c r="K688" s="954"/>
      <c r="L688" s="954"/>
      <c r="M688" s="955"/>
    </row>
    <row r="689" spans="1:13" s="956" customFormat="1" ht="18" customHeight="1" x14ac:dyDescent="0.25">
      <c r="A689" s="1087" t="s">
        <v>21</v>
      </c>
      <c r="B689" s="1087"/>
      <c r="C689" s="1087"/>
      <c r="D689" s="1087"/>
      <c r="E689" s="1087"/>
      <c r="F689" s="1087"/>
      <c r="G689" s="1087"/>
      <c r="H689" s="1087"/>
      <c r="I689" s="1087"/>
      <c r="J689" s="1087"/>
      <c r="K689" s="1087"/>
      <c r="L689" s="1087"/>
      <c r="M689" s="1087"/>
    </row>
    <row r="690" spans="1:13" s="956" customFormat="1" ht="18" customHeight="1" x14ac:dyDescent="0.25">
      <c r="A690" s="1087" t="s">
        <v>364</v>
      </c>
      <c r="B690" s="1087"/>
      <c r="C690" s="1087"/>
      <c r="D690" s="1087"/>
      <c r="E690" s="1087"/>
      <c r="F690" s="1087"/>
      <c r="G690" s="1087"/>
      <c r="H690" s="1087"/>
      <c r="I690" s="1087"/>
      <c r="J690" s="1087"/>
      <c r="K690" s="1087"/>
      <c r="L690" s="1087"/>
      <c r="M690" s="1087"/>
    </row>
    <row r="691" spans="1:13" s="956" customFormat="1" ht="18" customHeight="1" x14ac:dyDescent="0.25">
      <c r="A691" s="957"/>
      <c r="B691" s="957"/>
      <c r="C691" s="957"/>
      <c r="D691" s="957"/>
      <c r="E691" s="957"/>
      <c r="F691" s="957"/>
      <c r="G691" s="957"/>
      <c r="H691" s="957"/>
      <c r="I691" s="957"/>
      <c r="J691" s="957"/>
      <c r="K691" s="957"/>
      <c r="L691" s="957"/>
      <c r="M691" s="957"/>
    </row>
    <row r="692" spans="1:13" s="956" customFormat="1" ht="18" customHeight="1" x14ac:dyDescent="0.25">
      <c r="A692" s="958" t="s">
        <v>1739</v>
      </c>
      <c r="B692" s="957"/>
      <c r="C692" s="959"/>
      <c r="D692" s="957"/>
      <c r="E692" s="957"/>
      <c r="F692" s="957"/>
      <c r="G692" s="957"/>
      <c r="H692" s="957"/>
      <c r="I692" s="957"/>
      <c r="J692" s="957"/>
      <c r="K692" s="957"/>
      <c r="L692" s="957"/>
      <c r="M692" s="957"/>
    </row>
    <row r="693" spans="1:13" s="956" customFormat="1" ht="18" customHeight="1" thickBot="1" x14ac:dyDescent="0.3">
      <c r="A693" s="1087"/>
      <c r="B693" s="1087"/>
      <c r="C693" s="1087"/>
      <c r="D693" s="1087"/>
      <c r="E693" s="1087"/>
      <c r="F693" s="1087"/>
      <c r="G693" s="1087"/>
      <c r="H693" s="1087"/>
      <c r="I693" s="1087"/>
      <c r="J693" s="1087"/>
      <c r="K693" s="1087"/>
      <c r="L693" s="1087"/>
      <c r="M693" s="1087"/>
    </row>
    <row r="694" spans="1:13" ht="18" customHeight="1" x14ac:dyDescent="0.2">
      <c r="A694" s="961"/>
      <c r="B694" s="962"/>
      <c r="C694" s="962"/>
      <c r="D694" s="962"/>
      <c r="E694" s="962"/>
      <c r="F694" s="963"/>
      <c r="G694" s="964"/>
      <c r="H694" s="965"/>
      <c r="I694" s="965"/>
      <c r="J694" s="1089" t="s">
        <v>633</v>
      </c>
      <c r="K694" s="1090"/>
      <c r="L694" s="1091"/>
      <c r="M694" s="966"/>
    </row>
    <row r="695" spans="1:13" ht="18" customHeight="1" x14ac:dyDescent="0.2">
      <c r="A695" s="1092"/>
      <c r="B695" s="1093"/>
      <c r="C695" s="1093"/>
      <c r="D695" s="1093"/>
      <c r="E695" s="1093"/>
      <c r="F695" s="1094"/>
      <c r="G695" s="967"/>
      <c r="H695" s="968"/>
      <c r="I695" s="968" t="s">
        <v>6</v>
      </c>
      <c r="J695" s="968" t="s">
        <v>580</v>
      </c>
      <c r="K695" s="968" t="s">
        <v>581</v>
      </c>
      <c r="L695" s="968"/>
      <c r="M695" s="969" t="s">
        <v>7</v>
      </c>
    </row>
    <row r="696" spans="1:13" ht="18" customHeight="1" x14ac:dyDescent="0.25">
      <c r="A696" s="1092" t="s">
        <v>22</v>
      </c>
      <c r="B696" s="1093"/>
      <c r="C696" s="1093"/>
      <c r="D696" s="1093"/>
      <c r="E696" s="1093"/>
      <c r="F696" s="1094"/>
      <c r="G696" s="970"/>
      <c r="H696" s="971" t="s">
        <v>634</v>
      </c>
      <c r="I696" s="968" t="s">
        <v>579</v>
      </c>
      <c r="J696" s="968" t="s">
        <v>579</v>
      </c>
      <c r="K696" s="968" t="s">
        <v>582</v>
      </c>
      <c r="L696" s="968" t="s">
        <v>15</v>
      </c>
      <c r="M696" s="969" t="s">
        <v>584</v>
      </c>
    </row>
    <row r="697" spans="1:13" ht="18" customHeight="1" x14ac:dyDescent="0.2">
      <c r="A697" s="972"/>
      <c r="B697" s="973"/>
      <c r="C697" s="973"/>
      <c r="D697" s="973"/>
      <c r="E697" s="973"/>
      <c r="F697" s="974"/>
      <c r="G697" s="970"/>
      <c r="H697" s="968"/>
      <c r="I697" s="968">
        <v>2019</v>
      </c>
      <c r="J697" s="968">
        <v>2020</v>
      </c>
      <c r="K697" s="968">
        <v>2020</v>
      </c>
      <c r="L697" s="968">
        <v>2020</v>
      </c>
      <c r="M697" s="969">
        <v>2021</v>
      </c>
    </row>
    <row r="698" spans="1:13" ht="18" customHeight="1" thickBot="1" x14ac:dyDescent="0.25">
      <c r="A698" s="1096"/>
      <c r="B698" s="1097"/>
      <c r="C698" s="1097"/>
      <c r="D698" s="1097"/>
      <c r="E698" s="1097"/>
      <c r="F698" s="1098"/>
      <c r="G698" s="975"/>
      <c r="H698" s="976"/>
      <c r="I698" s="976"/>
      <c r="J698" s="976"/>
      <c r="K698" s="976"/>
      <c r="L698" s="976"/>
      <c r="M698" s="977"/>
    </row>
    <row r="699" spans="1:13" ht="18" customHeight="1" x14ac:dyDescent="0.25">
      <c r="A699" s="978"/>
      <c r="B699" s="979" t="s">
        <v>372</v>
      </c>
      <c r="C699" s="980"/>
      <c r="D699" s="979"/>
      <c r="E699" s="979"/>
      <c r="F699" s="981"/>
      <c r="G699" s="982"/>
      <c r="H699" s="1028"/>
      <c r="I699" s="1029"/>
      <c r="J699" s="1030"/>
      <c r="K699" s="1030"/>
      <c r="L699" s="1030"/>
      <c r="M699" s="1030"/>
    </row>
    <row r="700" spans="1:13" ht="18" customHeight="1" x14ac:dyDescent="0.25">
      <c r="A700" s="986"/>
      <c r="B700" s="987"/>
      <c r="C700" s="987" t="s">
        <v>532</v>
      </c>
      <c r="D700" s="987"/>
      <c r="E700" s="987"/>
      <c r="F700" s="988"/>
      <c r="G700" s="989"/>
      <c r="H700" s="1031"/>
      <c r="I700" s="1032"/>
      <c r="J700" s="1033"/>
      <c r="K700" s="1033"/>
      <c r="L700" s="1033"/>
      <c r="M700" s="1033"/>
    </row>
    <row r="701" spans="1:13" ht="18" customHeight="1" x14ac:dyDescent="0.25">
      <c r="A701" s="986"/>
      <c r="B701" s="987"/>
      <c r="C701" s="987"/>
      <c r="D701" s="987" t="s">
        <v>533</v>
      </c>
      <c r="E701" s="987"/>
      <c r="F701" s="988"/>
      <c r="G701" s="989" t="s">
        <v>603</v>
      </c>
      <c r="H701" s="993" t="s">
        <v>698</v>
      </c>
      <c r="I701" s="994">
        <v>2380889</v>
      </c>
      <c r="J701" s="995">
        <v>1325783.82</v>
      </c>
      <c r="K701" s="995">
        <f>2691462-J701</f>
        <v>1365678.18</v>
      </c>
      <c r="L701" s="995">
        <f>SUM(K701+J701)</f>
        <v>2691462</v>
      </c>
      <c r="M701" s="995">
        <v>2811352</v>
      </c>
    </row>
    <row r="702" spans="1:13" ht="18" customHeight="1" x14ac:dyDescent="0.25">
      <c r="A702" s="986"/>
      <c r="B702" s="987"/>
      <c r="C702" s="987" t="s">
        <v>534</v>
      </c>
      <c r="D702" s="987"/>
      <c r="E702" s="987"/>
      <c r="F702" s="988"/>
      <c r="G702" s="989"/>
      <c r="H702" s="1031"/>
      <c r="I702" s="994"/>
      <c r="J702" s="995"/>
      <c r="K702" s="995"/>
      <c r="L702" s="995"/>
      <c r="M702" s="995"/>
    </row>
    <row r="703" spans="1:13" ht="18" customHeight="1" x14ac:dyDescent="0.25">
      <c r="A703" s="986"/>
      <c r="B703" s="987"/>
      <c r="C703" s="987"/>
      <c r="D703" s="987" t="s">
        <v>535</v>
      </c>
      <c r="E703" s="987"/>
      <c r="F703" s="988"/>
      <c r="G703" s="989" t="s">
        <v>604</v>
      </c>
      <c r="H703" s="993" t="s">
        <v>699</v>
      </c>
      <c r="I703" s="994">
        <v>192000</v>
      </c>
      <c r="J703" s="995">
        <v>106000</v>
      </c>
      <c r="K703" s="995">
        <f>216000-J703</f>
        <v>110000</v>
      </c>
      <c r="L703" s="995">
        <f t="shared" ref="L703:L718" si="21">SUM(K703+J703)</f>
        <v>216000</v>
      </c>
      <c r="M703" s="995">
        <v>216000</v>
      </c>
    </row>
    <row r="704" spans="1:13" ht="18" customHeight="1" x14ac:dyDescent="0.25">
      <c r="A704" s="986"/>
      <c r="B704" s="987"/>
      <c r="C704" s="987"/>
      <c r="D704" s="987" t="s">
        <v>546</v>
      </c>
      <c r="E704" s="987"/>
      <c r="F704" s="988"/>
      <c r="G704" s="989" t="s">
        <v>605</v>
      </c>
      <c r="H704" s="993" t="s">
        <v>700</v>
      </c>
      <c r="I704" s="994">
        <v>76500</v>
      </c>
      <c r="J704" s="995">
        <v>38250</v>
      </c>
      <c r="K704" s="995">
        <f>76500-J704</f>
        <v>38250</v>
      </c>
      <c r="L704" s="995">
        <f t="shared" si="21"/>
        <v>76500</v>
      </c>
      <c r="M704" s="995">
        <v>76500</v>
      </c>
    </row>
    <row r="705" spans="1:13" ht="18" customHeight="1" x14ac:dyDescent="0.25">
      <c r="A705" s="986"/>
      <c r="B705" s="987"/>
      <c r="C705" s="987"/>
      <c r="D705" s="987" t="s">
        <v>545</v>
      </c>
      <c r="E705" s="987"/>
      <c r="F705" s="988"/>
      <c r="G705" s="989" t="s">
        <v>606</v>
      </c>
      <c r="H705" s="993" t="s">
        <v>701</v>
      </c>
      <c r="I705" s="994">
        <v>76500</v>
      </c>
      <c r="J705" s="995">
        <v>38250</v>
      </c>
      <c r="K705" s="995">
        <f>76500-J705</f>
        <v>38250</v>
      </c>
      <c r="L705" s="995">
        <f t="shared" si="21"/>
        <v>76500</v>
      </c>
      <c r="M705" s="995">
        <v>76500</v>
      </c>
    </row>
    <row r="706" spans="1:13" ht="18" customHeight="1" x14ac:dyDescent="0.25">
      <c r="A706" s="986"/>
      <c r="B706" s="987"/>
      <c r="C706" s="987"/>
      <c r="D706" s="987" t="s">
        <v>547</v>
      </c>
      <c r="E706" s="987"/>
      <c r="F706" s="988"/>
      <c r="G706" s="989" t="s">
        <v>607</v>
      </c>
      <c r="H706" s="993" t="s">
        <v>702</v>
      </c>
      <c r="I706" s="994">
        <v>48000</v>
      </c>
      <c r="J706" s="995">
        <v>48000</v>
      </c>
      <c r="K706" s="995">
        <f>54000-J706</f>
        <v>6000</v>
      </c>
      <c r="L706" s="995">
        <f t="shared" si="21"/>
        <v>54000</v>
      </c>
      <c r="M706" s="995">
        <v>54000</v>
      </c>
    </row>
    <row r="707" spans="1:13" ht="18" customHeight="1" x14ac:dyDescent="0.25">
      <c r="A707" s="986"/>
      <c r="B707" s="987"/>
      <c r="C707" s="987"/>
      <c r="D707" s="987" t="s">
        <v>696</v>
      </c>
      <c r="E707" s="987"/>
      <c r="F707" s="988"/>
      <c r="G707" s="989" t="s">
        <v>609</v>
      </c>
      <c r="H707" s="993" t="s">
        <v>703</v>
      </c>
      <c r="I707" s="994">
        <v>40000</v>
      </c>
      <c r="J707" s="995">
        <v>0</v>
      </c>
      <c r="K707" s="995">
        <f>45000-J707</f>
        <v>45000</v>
      </c>
      <c r="L707" s="995">
        <f t="shared" si="21"/>
        <v>45000</v>
      </c>
      <c r="M707" s="995">
        <v>45000</v>
      </c>
    </row>
    <row r="708" spans="1:13" ht="18" customHeight="1" x14ac:dyDescent="0.25">
      <c r="A708" s="986"/>
      <c r="B708" s="987"/>
      <c r="C708" s="987"/>
      <c r="D708" s="987" t="s">
        <v>549</v>
      </c>
      <c r="E708" s="987"/>
      <c r="F708" s="988"/>
      <c r="G708" s="989" t="s">
        <v>440</v>
      </c>
      <c r="H708" s="993" t="s">
        <v>704</v>
      </c>
      <c r="I708" s="994">
        <v>0</v>
      </c>
      <c r="J708" s="995">
        <v>0</v>
      </c>
      <c r="K708" s="995">
        <f>10000-J708</f>
        <v>10000</v>
      </c>
      <c r="L708" s="995">
        <f t="shared" si="21"/>
        <v>10000</v>
      </c>
      <c r="M708" s="995">
        <v>10000</v>
      </c>
    </row>
    <row r="709" spans="1:13" ht="18" customHeight="1" x14ac:dyDescent="0.25">
      <c r="A709" s="986"/>
      <c r="B709" s="987"/>
      <c r="C709" s="987"/>
      <c r="D709" s="987" t="s">
        <v>1562</v>
      </c>
      <c r="E709" s="987"/>
      <c r="F709" s="988"/>
      <c r="G709" s="989"/>
      <c r="H709" s="993" t="s">
        <v>704</v>
      </c>
      <c r="I709" s="994">
        <v>83896.15</v>
      </c>
      <c r="J709" s="995">
        <v>99392</v>
      </c>
      <c r="K709" s="995">
        <f>99392-J709</f>
        <v>0</v>
      </c>
      <c r="L709" s="995">
        <f t="shared" si="21"/>
        <v>99392</v>
      </c>
      <c r="M709" s="995">
        <v>0</v>
      </c>
    </row>
    <row r="710" spans="1:13" ht="18" customHeight="1" x14ac:dyDescent="0.25">
      <c r="A710" s="986"/>
      <c r="B710" s="987"/>
      <c r="C710" s="987"/>
      <c r="D710" s="987" t="s">
        <v>552</v>
      </c>
      <c r="E710" s="987"/>
      <c r="F710" s="988"/>
      <c r="G710" s="989" t="s">
        <v>612</v>
      </c>
      <c r="H710" s="993" t="s">
        <v>705</v>
      </c>
      <c r="I710" s="994">
        <v>40000</v>
      </c>
      <c r="J710" s="995">
        <v>0</v>
      </c>
      <c r="K710" s="995">
        <f>45000-J710</f>
        <v>45000</v>
      </c>
      <c r="L710" s="995">
        <f t="shared" si="21"/>
        <v>45000</v>
      </c>
      <c r="M710" s="995">
        <v>45000</v>
      </c>
    </row>
    <row r="711" spans="1:13" ht="18" customHeight="1" x14ac:dyDescent="0.25">
      <c r="A711" s="986"/>
      <c r="B711" s="987"/>
      <c r="C711" s="987"/>
      <c r="D711" s="987" t="s">
        <v>816</v>
      </c>
      <c r="E711" s="987"/>
      <c r="F711" s="987"/>
      <c r="G711" s="997" t="s">
        <v>440</v>
      </c>
      <c r="H711" s="993" t="s">
        <v>704</v>
      </c>
      <c r="I711" s="994">
        <v>198784</v>
      </c>
      <c r="J711" s="995">
        <v>206794</v>
      </c>
      <c r="K711" s="995">
        <f>224118-J711</f>
        <v>17324</v>
      </c>
      <c r="L711" s="995">
        <f t="shared" si="21"/>
        <v>224118</v>
      </c>
      <c r="M711" s="995">
        <v>233001</v>
      </c>
    </row>
    <row r="712" spans="1:13" ht="18" customHeight="1" x14ac:dyDescent="0.25">
      <c r="A712" s="986"/>
      <c r="B712" s="987"/>
      <c r="C712" s="987"/>
      <c r="D712" s="987" t="s">
        <v>553</v>
      </c>
      <c r="E712" s="987"/>
      <c r="F712" s="988"/>
      <c r="G712" s="989" t="s">
        <v>613</v>
      </c>
      <c r="H712" s="993" t="s">
        <v>706</v>
      </c>
      <c r="I712" s="994">
        <v>198784</v>
      </c>
      <c r="J712" s="995">
        <v>0</v>
      </c>
      <c r="K712" s="995">
        <f>224700-J712</f>
        <v>224700</v>
      </c>
      <c r="L712" s="995">
        <f t="shared" si="21"/>
        <v>224700</v>
      </c>
      <c r="M712" s="995">
        <v>234699</v>
      </c>
    </row>
    <row r="713" spans="1:13" ht="18" customHeight="1" x14ac:dyDescent="0.25">
      <c r="A713" s="986"/>
      <c r="B713" s="987"/>
      <c r="C713" s="987"/>
      <c r="D713" s="987" t="s">
        <v>669</v>
      </c>
      <c r="E713" s="987"/>
      <c r="F713" s="988"/>
      <c r="G713" s="989" t="s">
        <v>614</v>
      </c>
      <c r="H713" s="993" t="s">
        <v>707</v>
      </c>
      <c r="I713" s="994">
        <f>257433.84+26646</f>
        <v>284079.83999999997</v>
      </c>
      <c r="J713" s="995">
        <v>119270.39999999999</v>
      </c>
      <c r="K713" s="995">
        <f>323900-J713</f>
        <v>204629.6</v>
      </c>
      <c r="L713" s="995">
        <f t="shared" si="21"/>
        <v>323900</v>
      </c>
      <c r="M713" s="995">
        <v>338000</v>
      </c>
    </row>
    <row r="714" spans="1:13" ht="18" customHeight="1" x14ac:dyDescent="0.25">
      <c r="A714" s="986"/>
      <c r="B714" s="987"/>
      <c r="C714" s="987"/>
      <c r="D714" s="987" t="s">
        <v>554</v>
      </c>
      <c r="E714" s="987"/>
      <c r="F714" s="988"/>
      <c r="G714" s="989" t="s">
        <v>615</v>
      </c>
      <c r="H714" s="993" t="s">
        <v>708</v>
      </c>
      <c r="I714" s="994">
        <v>9600</v>
      </c>
      <c r="J714" s="995">
        <v>4400</v>
      </c>
      <c r="K714" s="995">
        <f>10800-J714</f>
        <v>6400</v>
      </c>
      <c r="L714" s="995">
        <f t="shared" si="21"/>
        <v>10800</v>
      </c>
      <c r="M714" s="995">
        <v>16200</v>
      </c>
    </row>
    <row r="715" spans="1:13" ht="18" customHeight="1" x14ac:dyDescent="0.25">
      <c r="A715" s="986"/>
      <c r="B715" s="987"/>
      <c r="C715" s="987"/>
      <c r="D715" s="987" t="s">
        <v>555</v>
      </c>
      <c r="E715" s="987"/>
      <c r="F715" s="988"/>
      <c r="G715" s="989" t="s">
        <v>616</v>
      </c>
      <c r="H715" s="993" t="s">
        <v>709</v>
      </c>
      <c r="I715" s="994">
        <v>26675</v>
      </c>
      <c r="J715" s="995">
        <v>14940</v>
      </c>
      <c r="K715" s="995">
        <f>40700-J715</f>
        <v>25760</v>
      </c>
      <c r="L715" s="995">
        <f t="shared" si="21"/>
        <v>40700</v>
      </c>
      <c r="M715" s="995">
        <v>50000</v>
      </c>
    </row>
    <row r="716" spans="1:13" ht="18" customHeight="1" x14ac:dyDescent="0.25">
      <c r="A716" s="986"/>
      <c r="B716" s="987"/>
      <c r="C716" s="987"/>
      <c r="D716" s="987" t="s">
        <v>665</v>
      </c>
      <c r="E716" s="987"/>
      <c r="F716" s="988"/>
      <c r="G716" s="989" t="s">
        <v>617</v>
      </c>
      <c r="H716" s="993" t="s">
        <v>710</v>
      </c>
      <c r="I716" s="994">
        <f>8800+800</f>
        <v>9600</v>
      </c>
      <c r="J716" s="995">
        <v>4000</v>
      </c>
      <c r="K716" s="995">
        <f>10800-J716</f>
        <v>6800</v>
      </c>
      <c r="L716" s="995">
        <f t="shared" si="21"/>
        <v>10800</v>
      </c>
      <c r="M716" s="995">
        <v>10800</v>
      </c>
    </row>
    <row r="717" spans="1:13" ht="18" customHeight="1" x14ac:dyDescent="0.25">
      <c r="A717" s="986"/>
      <c r="B717" s="987"/>
      <c r="C717" s="987"/>
      <c r="D717" s="987" t="s">
        <v>378</v>
      </c>
      <c r="E717" s="987"/>
      <c r="F717" s="988"/>
      <c r="G717" s="989" t="s">
        <v>618</v>
      </c>
      <c r="H717" s="993" t="s">
        <v>711</v>
      </c>
      <c r="I717" s="994">
        <v>0</v>
      </c>
      <c r="J717" s="995">
        <v>0</v>
      </c>
      <c r="K717" s="995">
        <f>250000-J717</f>
        <v>250000</v>
      </c>
      <c r="L717" s="995">
        <f t="shared" si="21"/>
        <v>250000</v>
      </c>
      <c r="M717" s="995">
        <v>0</v>
      </c>
    </row>
    <row r="718" spans="1:13" ht="18" customHeight="1" x14ac:dyDescent="0.25">
      <c r="A718" s="986"/>
      <c r="B718" s="987"/>
      <c r="C718" s="987"/>
      <c r="D718" s="987" t="s">
        <v>1563</v>
      </c>
      <c r="E718" s="987"/>
      <c r="F718" s="988"/>
      <c r="G718" s="989"/>
      <c r="H718" s="993" t="s">
        <v>722</v>
      </c>
      <c r="I718" s="994">
        <v>80000</v>
      </c>
      <c r="J718" s="995">
        <v>0</v>
      </c>
      <c r="K718" s="995">
        <v>0</v>
      </c>
      <c r="L718" s="995">
        <f t="shared" si="21"/>
        <v>0</v>
      </c>
      <c r="M718" s="995">
        <v>0</v>
      </c>
    </row>
    <row r="719" spans="1:13" ht="18" customHeight="1" x14ac:dyDescent="0.25">
      <c r="A719" s="998"/>
      <c r="B719" s="999"/>
      <c r="C719" s="999"/>
      <c r="D719" s="999" t="s">
        <v>377</v>
      </c>
      <c r="E719" s="999"/>
      <c r="F719" s="1000"/>
      <c r="G719" s="1001"/>
      <c r="H719" s="1034"/>
      <c r="I719" s="1002">
        <f>SUM(I701:I718)</f>
        <v>3745307.9899999998</v>
      </c>
      <c r="J719" s="1002">
        <f>SUM(J701:J718)</f>
        <v>2005080.22</v>
      </c>
      <c r="K719" s="1002">
        <f>SUM(K701:K718)</f>
        <v>2393791.7799999998</v>
      </c>
      <c r="L719" s="1002">
        <f>SUM(L701:L718)</f>
        <v>4398872</v>
      </c>
      <c r="M719" s="1002">
        <f>SUM(M701:M718)</f>
        <v>4217052</v>
      </c>
    </row>
    <row r="720" spans="1:13" ht="18" customHeight="1" x14ac:dyDescent="0.25">
      <c r="A720" s="986"/>
      <c r="B720" s="987" t="s">
        <v>558</v>
      </c>
      <c r="C720" s="987"/>
      <c r="D720" s="987"/>
      <c r="E720" s="987"/>
      <c r="F720" s="988"/>
      <c r="G720" s="989"/>
      <c r="H720" s="1031"/>
      <c r="I720" s="994"/>
      <c r="J720" s="995"/>
      <c r="K720" s="995"/>
      <c r="L720" s="995"/>
      <c r="M720" s="995"/>
    </row>
    <row r="721" spans="1:13" ht="18" customHeight="1" x14ac:dyDescent="0.25">
      <c r="A721" s="986"/>
      <c r="B721" s="987"/>
      <c r="C721" s="987"/>
      <c r="D721" s="987" t="s">
        <v>559</v>
      </c>
      <c r="E721" s="987"/>
      <c r="F721" s="988"/>
      <c r="G721" s="989" t="s">
        <v>390</v>
      </c>
      <c r="H721" s="993" t="s">
        <v>712</v>
      </c>
      <c r="I721" s="994">
        <v>129964.22</v>
      </c>
      <c r="J721" s="995">
        <v>38215</v>
      </c>
      <c r="K721" s="995">
        <f>152000-J721</f>
        <v>113785</v>
      </c>
      <c r="L721" s="995">
        <f t="shared" ref="L721:L728" si="22">SUM(K721+J721)</f>
        <v>152000</v>
      </c>
      <c r="M721" s="995">
        <f>152000-20000-12000</f>
        <v>120000</v>
      </c>
    </row>
    <row r="722" spans="1:13" ht="18" customHeight="1" x14ac:dyDescent="0.25">
      <c r="A722" s="986"/>
      <c r="B722" s="987"/>
      <c r="C722" s="987"/>
      <c r="D722" s="987" t="s">
        <v>436</v>
      </c>
      <c r="E722" s="987"/>
      <c r="F722" s="988"/>
      <c r="G722" s="989" t="s">
        <v>391</v>
      </c>
      <c r="H722" s="993" t="s">
        <v>713</v>
      </c>
      <c r="I722" s="994">
        <v>118241</v>
      </c>
      <c r="J722" s="995">
        <v>8700</v>
      </c>
      <c r="K722" s="995">
        <f>180000-J722</f>
        <v>171300</v>
      </c>
      <c r="L722" s="995">
        <f t="shared" si="22"/>
        <v>180000</v>
      </c>
      <c r="M722" s="995">
        <v>180000</v>
      </c>
    </row>
    <row r="723" spans="1:13" ht="18" customHeight="1" x14ac:dyDescent="0.25">
      <c r="A723" s="986"/>
      <c r="B723" s="987"/>
      <c r="C723" s="987"/>
      <c r="D723" s="987" t="s">
        <v>384</v>
      </c>
      <c r="E723" s="987"/>
      <c r="F723" s="988"/>
      <c r="G723" s="989" t="s">
        <v>393</v>
      </c>
      <c r="H723" s="993" t="s">
        <v>714</v>
      </c>
      <c r="I723" s="994">
        <v>34497.5</v>
      </c>
      <c r="J723" s="995">
        <v>0</v>
      </c>
      <c r="K723" s="995">
        <f>50000-J723</f>
        <v>50000</v>
      </c>
      <c r="L723" s="995">
        <f t="shared" si="22"/>
        <v>50000</v>
      </c>
      <c r="M723" s="995">
        <f>50000</f>
        <v>50000</v>
      </c>
    </row>
    <row r="724" spans="1:13" ht="18" customHeight="1" x14ac:dyDescent="0.25">
      <c r="A724" s="986"/>
      <c r="B724" s="987"/>
      <c r="C724" s="987"/>
      <c r="D724" s="987" t="s">
        <v>563</v>
      </c>
      <c r="E724" s="987"/>
      <c r="F724" s="988"/>
      <c r="G724" s="989" t="s">
        <v>622</v>
      </c>
      <c r="H724" s="993" t="s">
        <v>715</v>
      </c>
      <c r="I724" s="994">
        <v>0</v>
      </c>
      <c r="J724" s="995">
        <v>0</v>
      </c>
      <c r="K724" s="995">
        <f>1000-J724</f>
        <v>1000</v>
      </c>
      <c r="L724" s="995">
        <f t="shared" si="22"/>
        <v>1000</v>
      </c>
      <c r="M724" s="995">
        <v>1000</v>
      </c>
    </row>
    <row r="725" spans="1:13" ht="18" customHeight="1" x14ac:dyDescent="0.25">
      <c r="A725" s="986"/>
      <c r="B725" s="987"/>
      <c r="C725" s="987"/>
      <c r="D725" s="987" t="s">
        <v>565</v>
      </c>
      <c r="E725" s="987"/>
      <c r="F725" s="988"/>
      <c r="G725" s="989" t="s">
        <v>394</v>
      </c>
      <c r="H725" s="993" t="s">
        <v>716</v>
      </c>
      <c r="I725" s="994">
        <v>24000</v>
      </c>
      <c r="J725" s="995">
        <v>12000</v>
      </c>
      <c r="K725" s="995">
        <f>24000-J725</f>
        <v>12000</v>
      </c>
      <c r="L725" s="995">
        <f t="shared" si="22"/>
        <v>24000</v>
      </c>
      <c r="M725" s="995">
        <f>24000+12000</f>
        <v>36000</v>
      </c>
    </row>
    <row r="726" spans="1:13" ht="18" customHeight="1" x14ac:dyDescent="0.25">
      <c r="A726" s="986"/>
      <c r="B726" s="987"/>
      <c r="C726" s="987"/>
      <c r="D726" s="987" t="s">
        <v>945</v>
      </c>
      <c r="E726" s="987"/>
      <c r="F726" s="988"/>
      <c r="G726" s="989" t="s">
        <v>395</v>
      </c>
      <c r="H726" s="993" t="s">
        <v>717</v>
      </c>
      <c r="I726" s="994">
        <v>0</v>
      </c>
      <c r="J726" s="995">
        <v>0</v>
      </c>
      <c r="K726" s="995">
        <f>20000-J726</f>
        <v>20000</v>
      </c>
      <c r="L726" s="995">
        <f t="shared" si="22"/>
        <v>20000</v>
      </c>
      <c r="M726" s="995">
        <v>20000</v>
      </c>
    </row>
    <row r="727" spans="1:13" ht="18" customHeight="1" x14ac:dyDescent="0.25">
      <c r="A727" s="986"/>
      <c r="B727" s="987"/>
      <c r="C727" s="987"/>
      <c r="D727" s="987" t="s">
        <v>570</v>
      </c>
      <c r="E727" s="987"/>
      <c r="F727" s="988"/>
      <c r="G727" s="989" t="s">
        <v>628</v>
      </c>
      <c r="H727" s="993" t="s">
        <v>730</v>
      </c>
      <c r="I727" s="994">
        <v>528218</v>
      </c>
      <c r="J727" s="995">
        <v>195380</v>
      </c>
      <c r="K727" s="995">
        <f>847932.2-J727</f>
        <v>652552.19999999995</v>
      </c>
      <c r="L727" s="995">
        <f t="shared" si="22"/>
        <v>847932.2</v>
      </c>
      <c r="M727" s="995">
        <v>847932.2</v>
      </c>
    </row>
    <row r="728" spans="1:13" ht="18" customHeight="1" x14ac:dyDescent="0.25">
      <c r="A728" s="986"/>
      <c r="B728" s="987"/>
      <c r="C728" s="987"/>
      <c r="D728" s="987" t="s">
        <v>572</v>
      </c>
      <c r="E728" s="987"/>
      <c r="F728" s="988"/>
      <c r="G728" s="989" t="s">
        <v>396</v>
      </c>
      <c r="H728" s="993" t="s">
        <v>718</v>
      </c>
      <c r="I728" s="994">
        <v>200700</v>
      </c>
      <c r="J728" s="995">
        <v>1500</v>
      </c>
      <c r="K728" s="995">
        <f>10000-J728</f>
        <v>8500</v>
      </c>
      <c r="L728" s="995">
        <f t="shared" si="22"/>
        <v>10000</v>
      </c>
      <c r="M728" s="995">
        <v>10000</v>
      </c>
    </row>
    <row r="729" spans="1:13" ht="18" customHeight="1" x14ac:dyDescent="0.25">
      <c r="A729" s="998"/>
      <c r="B729" s="999"/>
      <c r="C729" s="999"/>
      <c r="D729" s="999" t="s">
        <v>763</v>
      </c>
      <c r="E729" s="999"/>
      <c r="F729" s="1000"/>
      <c r="G729" s="1001"/>
      <c r="H729" s="1034"/>
      <c r="I729" s="1002">
        <f>SUM(I721:I728)</f>
        <v>1035620.72</v>
      </c>
      <c r="J729" s="1002">
        <f>SUM(J721:J728)</f>
        <v>255795</v>
      </c>
      <c r="K729" s="1002">
        <f>SUM(K721:K728)</f>
        <v>1029137.2</v>
      </c>
      <c r="L729" s="1002">
        <f>SUM(L721:L728)</f>
        <v>1284932.2</v>
      </c>
      <c r="M729" s="1002">
        <f>SUM(M721:M728)</f>
        <v>1264932.2</v>
      </c>
    </row>
    <row r="730" spans="1:13" ht="18" customHeight="1" x14ac:dyDescent="0.25">
      <c r="A730" s="986"/>
      <c r="B730" s="987" t="s">
        <v>573</v>
      </c>
      <c r="C730" s="987"/>
      <c r="D730" s="987"/>
      <c r="E730" s="987"/>
      <c r="F730" s="988"/>
      <c r="G730" s="989"/>
      <c r="H730" s="1031"/>
      <c r="I730" s="994"/>
      <c r="J730" s="995"/>
      <c r="K730" s="995"/>
      <c r="L730" s="995"/>
      <c r="M730" s="995"/>
    </row>
    <row r="731" spans="1:13" ht="18" customHeight="1" x14ac:dyDescent="0.25">
      <c r="A731" s="986"/>
      <c r="B731" s="987"/>
      <c r="C731" s="987"/>
      <c r="D731" s="987" t="s">
        <v>1642</v>
      </c>
      <c r="E731" s="987"/>
      <c r="F731" s="988"/>
      <c r="G731" s="989"/>
      <c r="H731" s="993" t="s">
        <v>860</v>
      </c>
      <c r="I731" s="994">
        <v>0</v>
      </c>
      <c r="J731" s="995">
        <v>0</v>
      </c>
      <c r="K731" s="995">
        <v>0</v>
      </c>
      <c r="L731" s="995">
        <f>SUM(K731+J731)</f>
        <v>0</v>
      </c>
      <c r="M731" s="995">
        <v>35000</v>
      </c>
    </row>
    <row r="732" spans="1:13" ht="18" customHeight="1" x14ac:dyDescent="0.25">
      <c r="A732" s="986"/>
      <c r="B732" s="987"/>
      <c r="C732" s="987"/>
      <c r="D732" s="987" t="s">
        <v>858</v>
      </c>
      <c r="E732" s="987"/>
      <c r="F732" s="988"/>
      <c r="G732" s="989" t="s">
        <v>861</v>
      </c>
      <c r="H732" s="993" t="s">
        <v>1640</v>
      </c>
      <c r="I732" s="994">
        <v>0</v>
      </c>
      <c r="J732" s="995">
        <v>92990</v>
      </c>
      <c r="K732" s="995">
        <f>100000-J732</f>
        <v>7010</v>
      </c>
      <c r="L732" s="995">
        <f>SUM(K732+J732)</f>
        <v>100000</v>
      </c>
      <c r="M732" s="995">
        <v>0</v>
      </c>
    </row>
    <row r="733" spans="1:13" ht="18" customHeight="1" x14ac:dyDescent="0.25">
      <c r="A733" s="986"/>
      <c r="B733" s="987"/>
      <c r="C733" s="987"/>
      <c r="D733" s="987" t="s">
        <v>868</v>
      </c>
      <c r="E733" s="987"/>
      <c r="F733" s="988"/>
      <c r="G733" s="989"/>
      <c r="H733" s="993" t="s">
        <v>869</v>
      </c>
      <c r="I733" s="994">
        <v>0</v>
      </c>
      <c r="J733" s="995">
        <v>0</v>
      </c>
      <c r="K733" s="995">
        <v>0</v>
      </c>
      <c r="L733" s="995">
        <f>SUM(K733+J733)</f>
        <v>0</v>
      </c>
      <c r="M733" s="995">
        <f>20000</f>
        <v>20000</v>
      </c>
    </row>
    <row r="734" spans="1:13" ht="18" customHeight="1" x14ac:dyDescent="0.25">
      <c r="A734" s="986"/>
      <c r="B734" s="987"/>
      <c r="C734" s="987"/>
      <c r="D734" s="987" t="s">
        <v>1643</v>
      </c>
      <c r="E734" s="987"/>
      <c r="F734" s="988"/>
      <c r="G734" s="989" t="s">
        <v>863</v>
      </c>
      <c r="H734" s="993" t="s">
        <v>864</v>
      </c>
      <c r="I734" s="994">
        <v>99470</v>
      </c>
      <c r="J734" s="995">
        <v>0</v>
      </c>
      <c r="K734" s="995">
        <f>0-J734</f>
        <v>0</v>
      </c>
      <c r="L734" s="995">
        <f>SUM(K734+J734)</f>
        <v>0</v>
      </c>
      <c r="M734" s="995">
        <v>65000</v>
      </c>
    </row>
    <row r="735" spans="1:13" ht="18" customHeight="1" x14ac:dyDescent="0.25">
      <c r="A735" s="998"/>
      <c r="B735" s="999"/>
      <c r="C735" s="999"/>
      <c r="D735" s="999" t="s">
        <v>808</v>
      </c>
      <c r="E735" s="999"/>
      <c r="F735" s="1000"/>
      <c r="G735" s="1001"/>
      <c r="H735" s="1034"/>
      <c r="I735" s="1002">
        <f>SUM(I731:I734)</f>
        <v>99470</v>
      </c>
      <c r="J735" s="1002">
        <f>SUM(J731:J734)</f>
        <v>92990</v>
      </c>
      <c r="K735" s="1002">
        <f>SUM(K731:K734)</f>
        <v>7010</v>
      </c>
      <c r="L735" s="1002">
        <f>SUM(L731:L734)</f>
        <v>100000</v>
      </c>
      <c r="M735" s="1002">
        <f>SUM(M731:M734)</f>
        <v>120000</v>
      </c>
    </row>
    <row r="736" spans="1:13" ht="18" customHeight="1" x14ac:dyDescent="0.25">
      <c r="A736" s="998"/>
      <c r="B736" s="999"/>
      <c r="C736" s="999"/>
      <c r="D736" s="999"/>
      <c r="E736" s="999"/>
      <c r="F736" s="1000"/>
      <c r="G736" s="1001"/>
      <c r="H736" s="1034"/>
      <c r="I736" s="1002"/>
      <c r="J736" s="1005"/>
      <c r="K736" s="1005"/>
      <c r="L736" s="1005"/>
      <c r="M736" s="1005"/>
    </row>
    <row r="737" spans="1:13" ht="18" customHeight="1" x14ac:dyDescent="0.25">
      <c r="A737" s="1006" t="s">
        <v>635</v>
      </c>
      <c r="B737" s="1007"/>
      <c r="C737" s="1007"/>
      <c r="D737" s="1007"/>
      <c r="E737" s="1007"/>
      <c r="F737" s="1008"/>
      <c r="G737" s="1009"/>
      <c r="H737" s="1035"/>
      <c r="I737" s="1011">
        <f>SUM(I735+I729+I719)</f>
        <v>4880398.71</v>
      </c>
      <c r="J737" s="1011">
        <f>SUM(J735+J729+J719)</f>
        <v>2353865.2199999997</v>
      </c>
      <c r="K737" s="1011">
        <f>SUM(K735+K729+K719)</f>
        <v>3429938.9799999995</v>
      </c>
      <c r="L737" s="1011">
        <f>SUM(L735+L729+L719)</f>
        <v>5783804.2000000002</v>
      </c>
      <c r="M737" s="1011">
        <f>SUM(M735+M729+M719)</f>
        <v>5601984.2000000002</v>
      </c>
    </row>
    <row r="738" spans="1:13" ht="18" customHeight="1" x14ac:dyDescent="0.25">
      <c r="A738" s="973"/>
      <c r="B738" s="1012"/>
      <c r="C738" s="973"/>
      <c r="D738" s="973"/>
      <c r="E738" s="973"/>
      <c r="F738" s="973"/>
      <c r="G738" s="973"/>
      <c r="H738" s="1013"/>
      <c r="I738" s="1013"/>
      <c r="J738" s="1014"/>
      <c r="K738" s="1014"/>
      <c r="L738" s="1014"/>
      <c r="M738" s="1014"/>
    </row>
    <row r="739" spans="1:13" ht="18" customHeight="1" x14ac:dyDescent="0.25">
      <c r="A739" s="973"/>
      <c r="B739" s="1012"/>
      <c r="C739" s="973"/>
      <c r="D739" s="973"/>
      <c r="E739" s="973"/>
      <c r="F739" s="973"/>
      <c r="G739" s="973"/>
      <c r="H739" s="1013"/>
      <c r="I739" s="1013"/>
      <c r="J739" s="1014"/>
      <c r="K739" s="1014"/>
      <c r="L739" s="1014"/>
      <c r="M739" s="1014"/>
    </row>
    <row r="740" spans="1:13" ht="18" customHeight="1" x14ac:dyDescent="0.25">
      <c r="A740" s="973"/>
      <c r="B740" s="1012"/>
      <c r="C740" s="973"/>
      <c r="D740" s="973"/>
      <c r="E740" s="973"/>
      <c r="F740" s="973"/>
      <c r="G740" s="973"/>
      <c r="H740" s="1013"/>
      <c r="I740" s="1013"/>
      <c r="J740" s="1014"/>
      <c r="K740" s="1014"/>
      <c r="L740" s="1014"/>
      <c r="M740" s="1014"/>
    </row>
    <row r="741" spans="1:13" s="956" customFormat="1" ht="18" customHeight="1" x14ac:dyDescent="0.25">
      <c r="A741" s="953" t="s">
        <v>636</v>
      </c>
      <c r="B741" s="953"/>
      <c r="C741" s="954"/>
      <c r="D741" s="954"/>
      <c r="E741" s="954"/>
      <c r="F741" s="954"/>
      <c r="G741" s="954"/>
      <c r="H741" s="1017"/>
      <c r="I741" s="1017" t="s">
        <v>637</v>
      </c>
      <c r="J741" s="1014"/>
      <c r="K741" s="1018"/>
      <c r="L741" s="1018" t="s">
        <v>264</v>
      </c>
      <c r="M741" s="1014"/>
    </row>
    <row r="742" spans="1:13" s="956" customFormat="1" ht="18" customHeight="1" x14ac:dyDescent="0.25">
      <c r="A742" s="954"/>
      <c r="B742" s="953"/>
      <c r="C742" s="954"/>
      <c r="F742" s="953"/>
      <c r="G742" s="1103"/>
      <c r="H742" s="1103"/>
      <c r="I742" s="1099"/>
      <c r="J742" s="1099"/>
      <c r="K742" s="1014"/>
      <c r="L742" s="1019"/>
      <c r="M742" s="1014"/>
    </row>
    <row r="743" spans="1:13" s="956" customFormat="1" ht="18" customHeight="1" x14ac:dyDescent="0.25">
      <c r="A743" s="953"/>
      <c r="B743" s="953"/>
      <c r="C743" s="953"/>
      <c r="D743" s="1020"/>
      <c r="E743" s="1020"/>
      <c r="F743" s="1021" t="s">
        <v>439</v>
      </c>
      <c r="G743" s="1022"/>
      <c r="H743" s="1023"/>
      <c r="I743" s="1100" t="s">
        <v>17</v>
      </c>
      <c r="J743" s="1100"/>
      <c r="K743" s="1023"/>
      <c r="L743" s="1100" t="s">
        <v>1495</v>
      </c>
      <c r="M743" s="1100"/>
    </row>
    <row r="744" spans="1:13" s="956" customFormat="1" ht="18" customHeight="1" x14ac:dyDescent="0.25">
      <c r="A744" s="954"/>
      <c r="B744" s="953"/>
      <c r="C744" s="954"/>
      <c r="D744" s="954"/>
      <c r="E744" s="954"/>
      <c r="F744" s="1013" t="s">
        <v>1740</v>
      </c>
      <c r="G744" s="1025"/>
      <c r="H744" s="1025"/>
      <c r="I744" s="1101" t="s">
        <v>18</v>
      </c>
      <c r="J744" s="1101"/>
      <c r="K744" s="1026"/>
      <c r="L744" s="1102" t="s">
        <v>14</v>
      </c>
      <c r="M744" s="1102"/>
    </row>
    <row r="745" spans="1:13" s="956" customFormat="1" ht="18" customHeight="1" x14ac:dyDescent="0.25">
      <c r="A745" s="954"/>
      <c r="B745" s="953"/>
      <c r="C745" s="954"/>
      <c r="D745" s="954"/>
      <c r="E745" s="954"/>
      <c r="F745" s="954"/>
      <c r="G745" s="1025"/>
      <c r="H745" s="1013"/>
      <c r="I745" s="1013"/>
      <c r="K745" s="1027"/>
      <c r="L745" s="1027"/>
      <c r="M745" s="1014"/>
    </row>
    <row r="746" spans="1:13" s="956" customFormat="1" ht="18" customHeight="1" x14ac:dyDescent="0.25">
      <c r="A746" s="954"/>
      <c r="B746" s="953"/>
      <c r="C746" s="954"/>
      <c r="D746" s="954"/>
      <c r="E746" s="954"/>
      <c r="F746" s="954"/>
      <c r="G746" s="1025"/>
      <c r="H746" s="1013"/>
      <c r="I746" s="1013"/>
      <c r="K746" s="1027"/>
      <c r="L746" s="1027"/>
      <c r="M746" s="1014"/>
    </row>
    <row r="747" spans="1:13" s="956" customFormat="1" ht="18" customHeight="1" x14ac:dyDescent="0.25">
      <c r="A747" s="954"/>
      <c r="B747" s="953"/>
      <c r="C747" s="954"/>
      <c r="D747" s="954"/>
      <c r="E747" s="954"/>
      <c r="F747" s="954"/>
      <c r="G747" s="1025"/>
      <c r="H747" s="1013"/>
      <c r="I747" s="1013"/>
      <c r="K747" s="1027"/>
      <c r="L747" s="1027"/>
      <c r="M747" s="1014"/>
    </row>
    <row r="748" spans="1:13" s="956" customFormat="1" ht="18" customHeight="1" x14ac:dyDescent="0.25">
      <c r="A748" s="954"/>
      <c r="B748" s="953"/>
      <c r="C748" s="954"/>
      <c r="D748" s="954"/>
      <c r="E748" s="954"/>
      <c r="F748" s="954"/>
      <c r="G748" s="1025"/>
      <c r="H748" s="1013"/>
      <c r="I748" s="1013"/>
      <c r="K748" s="1027"/>
      <c r="L748" s="1027"/>
      <c r="M748" s="1014"/>
    </row>
    <row r="749" spans="1:13" s="956" customFormat="1" ht="18" customHeight="1" x14ac:dyDescent="0.2"/>
    <row r="750" spans="1:13" s="956" customFormat="1" ht="18" customHeight="1" x14ac:dyDescent="0.2"/>
    <row r="751" spans="1:13" s="956" customFormat="1" ht="18" customHeight="1" x14ac:dyDescent="0.2"/>
    <row r="752" spans="1:13" s="956" customFormat="1" ht="18" customHeight="1" x14ac:dyDescent="0.2"/>
    <row r="753" spans="1:13" s="956" customFormat="1" ht="18" customHeight="1" x14ac:dyDescent="0.2"/>
    <row r="754" spans="1:13" s="956" customFormat="1" ht="18" customHeight="1" x14ac:dyDescent="0.2"/>
    <row r="755" spans="1:13" s="1041" customFormat="1" ht="20.100000000000001" customHeight="1" x14ac:dyDescent="0.35">
      <c r="A755" s="1095" t="s">
        <v>1735</v>
      </c>
      <c r="B755" s="1095"/>
      <c r="C755" s="1095"/>
      <c r="D755" s="1095"/>
      <c r="E755" s="1095"/>
      <c r="F755" s="1095"/>
      <c r="G755" s="1095"/>
      <c r="H755" s="1095"/>
      <c r="I755" s="1095"/>
      <c r="J755" s="1095"/>
      <c r="K755" s="1095"/>
      <c r="L755" s="1095"/>
      <c r="M755" s="1095"/>
    </row>
    <row r="756" spans="1:13" s="956" customFormat="1" ht="18" customHeight="1" x14ac:dyDescent="0.25">
      <c r="A756" s="953"/>
      <c r="B756" s="954"/>
      <c r="C756" s="954"/>
      <c r="D756" s="954"/>
      <c r="E756" s="954"/>
      <c r="F756" s="954"/>
      <c r="G756" s="954"/>
      <c r="H756" s="954"/>
      <c r="I756" s="954"/>
      <c r="J756" s="954"/>
      <c r="K756" s="954"/>
      <c r="L756" s="954"/>
      <c r="M756" s="955"/>
    </row>
    <row r="757" spans="1:13" s="956" customFormat="1" ht="18" customHeight="1" x14ac:dyDescent="0.25">
      <c r="A757" s="1087" t="s">
        <v>21</v>
      </c>
      <c r="B757" s="1087"/>
      <c r="C757" s="1087"/>
      <c r="D757" s="1087"/>
      <c r="E757" s="1087"/>
      <c r="F757" s="1087"/>
      <c r="G757" s="1087"/>
      <c r="H757" s="1087"/>
      <c r="I757" s="1087"/>
      <c r="J757" s="1087"/>
      <c r="K757" s="1087"/>
      <c r="L757" s="1087"/>
      <c r="M757" s="1087"/>
    </row>
    <row r="758" spans="1:13" s="956" customFormat="1" ht="18" customHeight="1" x14ac:dyDescent="0.25">
      <c r="A758" s="1087" t="s">
        <v>364</v>
      </c>
      <c r="B758" s="1087"/>
      <c r="C758" s="1087"/>
      <c r="D758" s="1087"/>
      <c r="E758" s="1087"/>
      <c r="F758" s="1087"/>
      <c r="G758" s="1087"/>
      <c r="H758" s="1087"/>
      <c r="I758" s="1087"/>
      <c r="J758" s="1087"/>
      <c r="K758" s="1087"/>
      <c r="L758" s="1087"/>
      <c r="M758" s="1087"/>
    </row>
    <row r="759" spans="1:13" s="956" customFormat="1" ht="18" customHeight="1" x14ac:dyDescent="0.25">
      <c r="A759" s="957"/>
      <c r="B759" s="957"/>
      <c r="C759" s="957"/>
      <c r="D759" s="957"/>
      <c r="E759" s="957"/>
      <c r="F759" s="957"/>
      <c r="G759" s="957"/>
      <c r="H759" s="957"/>
      <c r="I759" s="957"/>
      <c r="J759" s="957"/>
      <c r="K759" s="957"/>
      <c r="L759" s="957"/>
      <c r="M759" s="957"/>
    </row>
    <row r="760" spans="1:13" s="956" customFormat="1" ht="18" customHeight="1" x14ac:dyDescent="0.25">
      <c r="A760" s="958" t="s">
        <v>1741</v>
      </c>
      <c r="B760" s="957"/>
      <c r="C760" s="959"/>
      <c r="D760" s="957"/>
      <c r="E760" s="957"/>
      <c r="F760" s="957"/>
      <c r="G760" s="957"/>
      <c r="H760" s="957"/>
      <c r="I760" s="957"/>
      <c r="J760" s="957"/>
      <c r="K760" s="957"/>
      <c r="L760" s="957"/>
      <c r="M760" s="957"/>
    </row>
    <row r="761" spans="1:13" s="956" customFormat="1" ht="18" customHeight="1" thickBot="1" x14ac:dyDescent="0.3">
      <c r="A761" s="1087"/>
      <c r="B761" s="1087"/>
      <c r="C761" s="1087"/>
      <c r="D761" s="1087"/>
      <c r="E761" s="1087"/>
      <c r="F761" s="1087"/>
      <c r="G761" s="1087"/>
      <c r="H761" s="1087"/>
      <c r="I761" s="1087"/>
      <c r="J761" s="1087"/>
      <c r="K761" s="1087"/>
      <c r="L761" s="1087"/>
      <c r="M761" s="1087"/>
    </row>
    <row r="762" spans="1:13" ht="18" customHeight="1" x14ac:dyDescent="0.2">
      <c r="A762" s="961"/>
      <c r="B762" s="962"/>
      <c r="C762" s="962"/>
      <c r="D762" s="962"/>
      <c r="E762" s="962"/>
      <c r="F762" s="963"/>
      <c r="G762" s="964"/>
      <c r="H762" s="965"/>
      <c r="I762" s="965"/>
      <c r="J762" s="1089" t="s">
        <v>633</v>
      </c>
      <c r="K762" s="1090"/>
      <c r="L762" s="1091"/>
      <c r="M762" s="966"/>
    </row>
    <row r="763" spans="1:13" ht="18" customHeight="1" x14ac:dyDescent="0.2">
      <c r="A763" s="1092"/>
      <c r="B763" s="1093"/>
      <c r="C763" s="1093"/>
      <c r="D763" s="1093"/>
      <c r="E763" s="1093"/>
      <c r="F763" s="1094"/>
      <c r="G763" s="967"/>
      <c r="H763" s="968"/>
      <c r="I763" s="968" t="s">
        <v>6</v>
      </c>
      <c r="J763" s="968" t="s">
        <v>580</v>
      </c>
      <c r="K763" s="968" t="s">
        <v>581</v>
      </c>
      <c r="L763" s="968"/>
      <c r="M763" s="969" t="s">
        <v>7</v>
      </c>
    </row>
    <row r="764" spans="1:13" ht="18" customHeight="1" x14ac:dyDescent="0.25">
      <c r="A764" s="1092" t="s">
        <v>22</v>
      </c>
      <c r="B764" s="1093"/>
      <c r="C764" s="1093"/>
      <c r="D764" s="1093"/>
      <c r="E764" s="1093"/>
      <c r="F764" s="1094"/>
      <c r="G764" s="970"/>
      <c r="H764" s="971" t="s">
        <v>634</v>
      </c>
      <c r="I764" s="968" t="s">
        <v>579</v>
      </c>
      <c r="J764" s="968" t="s">
        <v>579</v>
      </c>
      <c r="K764" s="968" t="s">
        <v>582</v>
      </c>
      <c r="L764" s="968" t="s">
        <v>15</v>
      </c>
      <c r="M764" s="969" t="s">
        <v>584</v>
      </c>
    </row>
    <row r="765" spans="1:13" ht="18" customHeight="1" x14ac:dyDescent="0.2">
      <c r="A765" s="972"/>
      <c r="B765" s="973"/>
      <c r="C765" s="973"/>
      <c r="D765" s="973"/>
      <c r="E765" s="973"/>
      <c r="F765" s="974"/>
      <c r="G765" s="970"/>
      <c r="H765" s="968"/>
      <c r="I765" s="968">
        <v>2019</v>
      </c>
      <c r="J765" s="968">
        <v>2020</v>
      </c>
      <c r="K765" s="968">
        <v>2020</v>
      </c>
      <c r="L765" s="968">
        <v>2020</v>
      </c>
      <c r="M765" s="969">
        <v>2021</v>
      </c>
    </row>
    <row r="766" spans="1:13" ht="18" customHeight="1" thickBot="1" x14ac:dyDescent="0.25">
      <c r="A766" s="1096"/>
      <c r="B766" s="1097"/>
      <c r="C766" s="1097"/>
      <c r="D766" s="1097"/>
      <c r="E766" s="1097"/>
      <c r="F766" s="1098"/>
      <c r="G766" s="975"/>
      <c r="H766" s="976"/>
      <c r="I766" s="976"/>
      <c r="J766" s="976"/>
      <c r="K766" s="976"/>
      <c r="L766" s="976"/>
      <c r="M766" s="977"/>
    </row>
    <row r="767" spans="1:13" ht="18" customHeight="1" x14ac:dyDescent="0.25">
      <c r="A767" s="978"/>
      <c r="B767" s="979" t="s">
        <v>372</v>
      </c>
      <c r="C767" s="980"/>
      <c r="D767" s="979"/>
      <c r="E767" s="979"/>
      <c r="F767" s="981"/>
      <c r="G767" s="982"/>
      <c r="H767" s="1028"/>
      <c r="I767" s="1029"/>
      <c r="J767" s="1030"/>
      <c r="K767" s="1030"/>
      <c r="L767" s="1030"/>
      <c r="M767" s="1030"/>
    </row>
    <row r="768" spans="1:13" ht="18" customHeight="1" x14ac:dyDescent="0.25">
      <c r="A768" s="986"/>
      <c r="B768" s="987"/>
      <c r="C768" s="987" t="s">
        <v>532</v>
      </c>
      <c r="D768" s="987"/>
      <c r="E768" s="987"/>
      <c r="F768" s="988"/>
      <c r="G768" s="989"/>
      <c r="H768" s="1031"/>
      <c r="I768" s="1032"/>
      <c r="J768" s="1033"/>
      <c r="K768" s="1033"/>
      <c r="L768" s="1033"/>
      <c r="M768" s="1033"/>
    </row>
    <row r="769" spans="1:13" ht="18" customHeight="1" x14ac:dyDescent="0.25">
      <c r="A769" s="986"/>
      <c r="B769" s="987"/>
      <c r="C769" s="987"/>
      <c r="D769" s="987" t="s">
        <v>533</v>
      </c>
      <c r="E769" s="987"/>
      <c r="F769" s="988"/>
      <c r="G769" s="989" t="s">
        <v>603</v>
      </c>
      <c r="H769" s="993" t="s">
        <v>698</v>
      </c>
      <c r="I769" s="994">
        <v>4393474</v>
      </c>
      <c r="J769" s="995">
        <v>2322754.8199999998</v>
      </c>
      <c r="K769" s="995">
        <f>4660497-J769</f>
        <v>2337742.1800000002</v>
      </c>
      <c r="L769" s="995">
        <f>SUM(K769+J769)</f>
        <v>4660497</v>
      </c>
      <c r="M769" s="995">
        <v>4880379</v>
      </c>
    </row>
    <row r="770" spans="1:13" ht="18" customHeight="1" x14ac:dyDescent="0.25">
      <c r="A770" s="986"/>
      <c r="B770" s="987"/>
      <c r="C770" s="987" t="s">
        <v>534</v>
      </c>
      <c r="D770" s="987"/>
      <c r="E770" s="987"/>
      <c r="F770" s="988"/>
      <c r="G770" s="989"/>
      <c r="H770" s="1031"/>
      <c r="I770" s="994"/>
      <c r="J770" s="995"/>
      <c r="K770" s="995"/>
      <c r="L770" s="995"/>
      <c r="M770" s="995"/>
    </row>
    <row r="771" spans="1:13" ht="18" customHeight="1" x14ac:dyDescent="0.25">
      <c r="A771" s="986"/>
      <c r="B771" s="987"/>
      <c r="C771" s="987"/>
      <c r="D771" s="987" t="s">
        <v>535</v>
      </c>
      <c r="E771" s="987"/>
      <c r="F771" s="988"/>
      <c r="G771" s="989" t="s">
        <v>604</v>
      </c>
      <c r="H771" s="993" t="s">
        <v>699</v>
      </c>
      <c r="I771" s="994">
        <v>308000</v>
      </c>
      <c r="J771" s="995">
        <v>155818.18</v>
      </c>
      <c r="K771" s="995">
        <f>312000-J771</f>
        <v>156181.82</v>
      </c>
      <c r="L771" s="995">
        <f t="shared" ref="L771:L789" si="23">SUM(K771+J771)</f>
        <v>312000</v>
      </c>
      <c r="M771" s="995">
        <v>312000</v>
      </c>
    </row>
    <row r="772" spans="1:13" ht="18" customHeight="1" x14ac:dyDescent="0.25">
      <c r="A772" s="986"/>
      <c r="B772" s="987"/>
      <c r="C772" s="987"/>
      <c r="D772" s="987" t="s">
        <v>546</v>
      </c>
      <c r="E772" s="987"/>
      <c r="F772" s="988"/>
      <c r="G772" s="989" t="s">
        <v>605</v>
      </c>
      <c r="H772" s="993" t="s">
        <v>700</v>
      </c>
      <c r="I772" s="994">
        <v>76500</v>
      </c>
      <c r="J772" s="995">
        <v>38250</v>
      </c>
      <c r="K772" s="995">
        <f>76500-J772</f>
        <v>38250</v>
      </c>
      <c r="L772" s="995">
        <f t="shared" si="23"/>
        <v>76500</v>
      </c>
      <c r="M772" s="995">
        <v>76500</v>
      </c>
    </row>
    <row r="773" spans="1:13" ht="18" customHeight="1" x14ac:dyDescent="0.25">
      <c r="A773" s="986"/>
      <c r="B773" s="987"/>
      <c r="C773" s="987"/>
      <c r="D773" s="987" t="s">
        <v>545</v>
      </c>
      <c r="E773" s="987"/>
      <c r="F773" s="988"/>
      <c r="G773" s="989" t="s">
        <v>606</v>
      </c>
      <c r="H773" s="993" t="s">
        <v>701</v>
      </c>
      <c r="I773" s="994">
        <v>76500</v>
      </c>
      <c r="J773" s="995">
        <v>38250</v>
      </c>
      <c r="K773" s="995">
        <f>76500-J773</f>
        <v>38250</v>
      </c>
      <c r="L773" s="995">
        <f t="shared" si="23"/>
        <v>76500</v>
      </c>
      <c r="M773" s="995">
        <v>76500</v>
      </c>
    </row>
    <row r="774" spans="1:13" ht="18" customHeight="1" x14ac:dyDescent="0.25">
      <c r="A774" s="986"/>
      <c r="B774" s="987"/>
      <c r="C774" s="987"/>
      <c r="D774" s="987" t="s">
        <v>547</v>
      </c>
      <c r="E774" s="987"/>
      <c r="F774" s="988"/>
      <c r="G774" s="989" t="s">
        <v>607</v>
      </c>
      <c r="H774" s="993" t="s">
        <v>702</v>
      </c>
      <c r="I774" s="994">
        <v>78000</v>
      </c>
      <c r="J774" s="995">
        <v>78000</v>
      </c>
      <c r="K774" s="995">
        <f>78000-J774</f>
        <v>0</v>
      </c>
      <c r="L774" s="995">
        <f t="shared" si="23"/>
        <v>78000</v>
      </c>
      <c r="M774" s="995">
        <v>78000</v>
      </c>
    </row>
    <row r="775" spans="1:13" ht="18" customHeight="1" x14ac:dyDescent="0.25">
      <c r="A775" s="986"/>
      <c r="B775" s="987"/>
      <c r="C775" s="987"/>
      <c r="D775" s="987" t="s">
        <v>548</v>
      </c>
      <c r="E775" s="987"/>
      <c r="F775" s="988"/>
      <c r="G775" s="989" t="s">
        <v>608</v>
      </c>
      <c r="H775" s="993" t="s">
        <v>719</v>
      </c>
      <c r="I775" s="994">
        <v>157975</v>
      </c>
      <c r="J775" s="995">
        <v>70475</v>
      </c>
      <c r="K775" s="995">
        <f>257400-J775</f>
        <v>186925</v>
      </c>
      <c r="L775" s="995">
        <f t="shared" si="23"/>
        <v>257400</v>
      </c>
      <c r="M775" s="995">
        <v>257400</v>
      </c>
    </row>
    <row r="776" spans="1:13" ht="18" customHeight="1" x14ac:dyDescent="0.25">
      <c r="A776" s="986"/>
      <c r="B776" s="987"/>
      <c r="C776" s="987"/>
      <c r="D776" s="987" t="s">
        <v>696</v>
      </c>
      <c r="E776" s="987"/>
      <c r="F776" s="988"/>
      <c r="G776" s="989" t="s">
        <v>609</v>
      </c>
      <c r="H776" s="993" t="s">
        <v>703</v>
      </c>
      <c r="I776" s="994">
        <v>65000</v>
      </c>
      <c r="J776" s="995">
        <v>0</v>
      </c>
      <c r="K776" s="995">
        <f>65000-J776</f>
        <v>65000</v>
      </c>
      <c r="L776" s="995">
        <f t="shared" si="23"/>
        <v>65000</v>
      </c>
      <c r="M776" s="995">
        <v>65000</v>
      </c>
    </row>
    <row r="777" spans="1:13" ht="18" customHeight="1" x14ac:dyDescent="0.25">
      <c r="A777" s="986"/>
      <c r="B777" s="987"/>
      <c r="C777" s="987"/>
      <c r="D777" s="987" t="s">
        <v>549</v>
      </c>
      <c r="E777" s="987"/>
      <c r="F777" s="988"/>
      <c r="G777" s="989" t="s">
        <v>440</v>
      </c>
      <c r="H777" s="993" t="s">
        <v>704</v>
      </c>
      <c r="I777" s="994">
        <v>20000</v>
      </c>
      <c r="J777" s="995">
        <v>10000</v>
      </c>
      <c r="K777" s="995">
        <f>10000-J777</f>
        <v>0</v>
      </c>
      <c r="L777" s="995">
        <f t="shared" si="23"/>
        <v>10000</v>
      </c>
      <c r="M777" s="995">
        <v>15000</v>
      </c>
    </row>
    <row r="778" spans="1:13" ht="18" customHeight="1" x14ac:dyDescent="0.25">
      <c r="A778" s="986"/>
      <c r="B778" s="987"/>
      <c r="C778" s="987"/>
      <c r="D778" s="987" t="s">
        <v>1562</v>
      </c>
      <c r="E778" s="987"/>
      <c r="F778" s="988"/>
      <c r="G778" s="989"/>
      <c r="H778" s="993" t="s">
        <v>704</v>
      </c>
      <c r="I778" s="994">
        <v>223594.5</v>
      </c>
      <c r="J778" s="995">
        <v>262470.87</v>
      </c>
      <c r="K778" s="995">
        <f>262470.87-J778</f>
        <v>0</v>
      </c>
      <c r="L778" s="995">
        <f t="shared" si="23"/>
        <v>262470.87</v>
      </c>
      <c r="M778" s="995">
        <v>0</v>
      </c>
    </row>
    <row r="779" spans="1:13" ht="18" customHeight="1" x14ac:dyDescent="0.25">
      <c r="A779" s="986"/>
      <c r="B779" s="987"/>
      <c r="C779" s="987"/>
      <c r="D779" s="987" t="s">
        <v>551</v>
      </c>
      <c r="E779" s="987"/>
      <c r="F779" s="988"/>
      <c r="G779" s="989" t="s">
        <v>610</v>
      </c>
      <c r="H779" s="993" t="s">
        <v>720</v>
      </c>
      <c r="I779" s="994">
        <v>412904</v>
      </c>
      <c r="J779" s="995">
        <v>173917.5</v>
      </c>
      <c r="K779" s="995">
        <f>420783-J779</f>
        <v>246865.5</v>
      </c>
      <c r="L779" s="995">
        <f t="shared" si="23"/>
        <v>420783</v>
      </c>
      <c r="M779" s="995">
        <v>420783</v>
      </c>
    </row>
    <row r="780" spans="1:13" ht="18" customHeight="1" x14ac:dyDescent="0.25">
      <c r="A780" s="986"/>
      <c r="B780" s="987"/>
      <c r="C780" s="987"/>
      <c r="D780" s="987" t="s">
        <v>552</v>
      </c>
      <c r="E780" s="987"/>
      <c r="F780" s="988"/>
      <c r="G780" s="989" t="s">
        <v>612</v>
      </c>
      <c r="H780" s="993" t="s">
        <v>705</v>
      </c>
      <c r="I780" s="994">
        <v>65000</v>
      </c>
      <c r="J780" s="995">
        <v>0</v>
      </c>
      <c r="K780" s="995">
        <f>65000-J780</f>
        <v>65000</v>
      </c>
      <c r="L780" s="995">
        <f t="shared" si="23"/>
        <v>65000</v>
      </c>
      <c r="M780" s="995">
        <v>65000</v>
      </c>
    </row>
    <row r="781" spans="1:13" ht="18" customHeight="1" x14ac:dyDescent="0.25">
      <c r="A781" s="986"/>
      <c r="B781" s="987"/>
      <c r="C781" s="987"/>
      <c r="D781" s="987" t="s">
        <v>816</v>
      </c>
      <c r="E781" s="987"/>
      <c r="F781" s="987"/>
      <c r="G781" s="997" t="s">
        <v>440</v>
      </c>
      <c r="H781" s="993" t="s">
        <v>704</v>
      </c>
      <c r="I781" s="994">
        <v>367840</v>
      </c>
      <c r="J781" s="995">
        <f>580956-136748.62-56903.38</f>
        <v>387304</v>
      </c>
      <c r="K781" s="995">
        <f>580956-136748.62-56903.38-J781</f>
        <v>0</v>
      </c>
      <c r="L781" s="995">
        <f t="shared" si="23"/>
        <v>387304</v>
      </c>
      <c r="M781" s="995">
        <v>406707</v>
      </c>
    </row>
    <row r="782" spans="1:13" ht="18" customHeight="1" x14ac:dyDescent="0.25">
      <c r="A782" s="986"/>
      <c r="B782" s="987"/>
      <c r="C782" s="987"/>
      <c r="D782" s="987" t="s">
        <v>553</v>
      </c>
      <c r="E782" s="987"/>
      <c r="F782" s="988"/>
      <c r="G782" s="989" t="s">
        <v>613</v>
      </c>
      <c r="H782" s="993" t="s">
        <v>706</v>
      </c>
      <c r="I782" s="994">
        <v>368326</v>
      </c>
      <c r="J782" s="995">
        <v>0</v>
      </c>
      <c r="K782" s="995">
        <f>389152-J782</f>
        <v>389152</v>
      </c>
      <c r="L782" s="995">
        <f t="shared" si="23"/>
        <v>389152</v>
      </c>
      <c r="M782" s="995">
        <v>406996</v>
      </c>
    </row>
    <row r="783" spans="1:13" ht="18" customHeight="1" x14ac:dyDescent="0.25">
      <c r="A783" s="986"/>
      <c r="B783" s="987"/>
      <c r="C783" s="987"/>
      <c r="D783" s="987" t="s">
        <v>669</v>
      </c>
      <c r="E783" s="987"/>
      <c r="F783" s="988"/>
      <c r="G783" s="989" t="s">
        <v>614</v>
      </c>
      <c r="H783" s="993" t="s">
        <v>707</v>
      </c>
      <c r="I783" s="994">
        <f>478860.36+48356.52</f>
        <v>527216.88</v>
      </c>
      <c r="J783" s="995">
        <v>221518.68</v>
      </c>
      <c r="K783" s="995">
        <f>559600-J783</f>
        <v>338081.32</v>
      </c>
      <c r="L783" s="995">
        <f t="shared" si="23"/>
        <v>559600</v>
      </c>
      <c r="M783" s="995">
        <v>587000</v>
      </c>
    </row>
    <row r="784" spans="1:13" ht="18" customHeight="1" x14ac:dyDescent="0.25">
      <c r="A784" s="986"/>
      <c r="B784" s="987"/>
      <c r="C784" s="987"/>
      <c r="D784" s="987" t="s">
        <v>554</v>
      </c>
      <c r="E784" s="987"/>
      <c r="F784" s="988"/>
      <c r="G784" s="989" t="s">
        <v>615</v>
      </c>
      <c r="H784" s="993" t="s">
        <v>708</v>
      </c>
      <c r="I784" s="994">
        <v>15400</v>
      </c>
      <c r="J784" s="995">
        <v>6500</v>
      </c>
      <c r="K784" s="995">
        <f>15600-J784</f>
        <v>9100</v>
      </c>
      <c r="L784" s="995">
        <f t="shared" si="23"/>
        <v>15600</v>
      </c>
      <c r="M784" s="995">
        <v>23400</v>
      </c>
    </row>
    <row r="785" spans="1:13" ht="18" customHeight="1" x14ac:dyDescent="0.25">
      <c r="A785" s="986"/>
      <c r="B785" s="987"/>
      <c r="C785" s="987"/>
      <c r="D785" s="987" t="s">
        <v>555</v>
      </c>
      <c r="E785" s="987"/>
      <c r="F785" s="988"/>
      <c r="G785" s="989" t="s">
        <v>616</v>
      </c>
      <c r="H785" s="993" t="s">
        <v>709</v>
      </c>
      <c r="I785" s="994">
        <v>51163.75</v>
      </c>
      <c r="J785" s="995">
        <v>25710</v>
      </c>
      <c r="K785" s="995">
        <f>70300-J785</f>
        <v>44590</v>
      </c>
      <c r="L785" s="995">
        <f t="shared" si="23"/>
        <v>70300</v>
      </c>
      <c r="M785" s="995">
        <v>86000</v>
      </c>
    </row>
    <row r="786" spans="1:13" ht="18" customHeight="1" x14ac:dyDescent="0.25">
      <c r="A786" s="986"/>
      <c r="B786" s="987"/>
      <c r="C786" s="987"/>
      <c r="D786" s="987" t="s">
        <v>665</v>
      </c>
      <c r="E786" s="987"/>
      <c r="F786" s="988"/>
      <c r="G786" s="989" t="s">
        <v>617</v>
      </c>
      <c r="H786" s="993" t="s">
        <v>710</v>
      </c>
      <c r="I786" s="994">
        <f>14200+1200</f>
        <v>15400</v>
      </c>
      <c r="J786" s="995">
        <v>6500</v>
      </c>
      <c r="K786" s="995">
        <f>15600-J786</f>
        <v>9100</v>
      </c>
      <c r="L786" s="995">
        <f t="shared" si="23"/>
        <v>15600</v>
      </c>
      <c r="M786" s="995">
        <v>15600</v>
      </c>
    </row>
    <row r="787" spans="1:13" ht="18" customHeight="1" x14ac:dyDescent="0.25">
      <c r="A787" s="986"/>
      <c r="B787" s="987"/>
      <c r="C787" s="987"/>
      <c r="D787" s="987" t="s">
        <v>557</v>
      </c>
      <c r="E787" s="987"/>
      <c r="F787" s="988"/>
      <c r="G787" s="989" t="s">
        <v>403</v>
      </c>
      <c r="H787" s="993" t="s">
        <v>722</v>
      </c>
      <c r="I787" s="994">
        <v>0</v>
      </c>
      <c r="J787" s="995">
        <f>236348.47+136748.62+56903.38</f>
        <v>430000.47</v>
      </c>
      <c r="K787" s="995">
        <f>236348.47+136748.62+56903.38-J787</f>
        <v>0</v>
      </c>
      <c r="L787" s="995">
        <f t="shared" si="23"/>
        <v>430000.47</v>
      </c>
      <c r="M787" s="995">
        <v>0</v>
      </c>
    </row>
    <row r="788" spans="1:13" ht="18" customHeight="1" x14ac:dyDescent="0.25">
      <c r="A788" s="986"/>
      <c r="B788" s="987"/>
      <c r="C788" s="987"/>
      <c r="D788" s="987" t="s">
        <v>1563</v>
      </c>
      <c r="E788" s="987"/>
      <c r="F788" s="988"/>
      <c r="G788" s="989"/>
      <c r="H788" s="993" t="s">
        <v>722</v>
      </c>
      <c r="I788" s="994">
        <v>130000</v>
      </c>
      <c r="J788" s="995">
        <v>0</v>
      </c>
      <c r="K788" s="995">
        <v>0</v>
      </c>
      <c r="L788" s="995">
        <f t="shared" si="23"/>
        <v>0</v>
      </c>
      <c r="M788" s="995">
        <v>0</v>
      </c>
    </row>
    <row r="789" spans="1:13" ht="18" customHeight="1" x14ac:dyDescent="0.25">
      <c r="A789" s="986"/>
      <c r="B789" s="987"/>
      <c r="C789" s="987"/>
      <c r="D789" s="987" t="s">
        <v>556</v>
      </c>
      <c r="E789" s="987"/>
      <c r="F789" s="988"/>
      <c r="G789" s="989" t="s">
        <v>619</v>
      </c>
      <c r="H789" s="993" t="s">
        <v>711</v>
      </c>
      <c r="I789" s="994">
        <v>25000</v>
      </c>
      <c r="J789" s="995">
        <v>0</v>
      </c>
      <c r="K789" s="995">
        <f>25000-J789</f>
        <v>25000</v>
      </c>
      <c r="L789" s="995">
        <f t="shared" si="23"/>
        <v>25000</v>
      </c>
      <c r="M789" s="995">
        <v>25000</v>
      </c>
    </row>
    <row r="790" spans="1:13" ht="18" customHeight="1" x14ac:dyDescent="0.25">
      <c r="A790" s="998"/>
      <c r="B790" s="999"/>
      <c r="C790" s="999"/>
      <c r="D790" s="999" t="s">
        <v>377</v>
      </c>
      <c r="E790" s="999"/>
      <c r="F790" s="1000"/>
      <c r="G790" s="1001"/>
      <c r="H790" s="1034"/>
      <c r="I790" s="1002">
        <f>SUM(I769:I789)</f>
        <v>7377294.1299999999</v>
      </c>
      <c r="J790" s="1002">
        <f>SUM(J769:J789)</f>
        <v>4227469.5200000005</v>
      </c>
      <c r="K790" s="1002">
        <f>SUM(K769:K789)</f>
        <v>3949237.82</v>
      </c>
      <c r="L790" s="1002">
        <f>SUM(L769:L789)</f>
        <v>8176707.3399999999</v>
      </c>
      <c r="M790" s="1002">
        <f>SUM(M769:M789)</f>
        <v>7797265</v>
      </c>
    </row>
    <row r="791" spans="1:13" ht="18" customHeight="1" x14ac:dyDescent="0.25">
      <c r="A791" s="986"/>
      <c r="B791" s="987" t="s">
        <v>558</v>
      </c>
      <c r="C791" s="987"/>
      <c r="D791" s="987"/>
      <c r="E791" s="987"/>
      <c r="F791" s="988"/>
      <c r="G791" s="989"/>
      <c r="H791" s="1031"/>
      <c r="I791" s="994"/>
      <c r="J791" s="995"/>
      <c r="K791" s="995"/>
      <c r="L791" s="995"/>
      <c r="M791" s="995"/>
    </row>
    <row r="792" spans="1:13" ht="18" customHeight="1" x14ac:dyDescent="0.25">
      <c r="A792" s="986"/>
      <c r="B792" s="987"/>
      <c r="C792" s="987"/>
      <c r="D792" s="987" t="s">
        <v>559</v>
      </c>
      <c r="E792" s="987"/>
      <c r="F792" s="988"/>
      <c r="G792" s="989" t="s">
        <v>390</v>
      </c>
      <c r="H792" s="993" t="s">
        <v>712</v>
      </c>
      <c r="I792" s="994">
        <v>140359</v>
      </c>
      <c r="J792" s="995">
        <v>5110</v>
      </c>
      <c r="K792" s="995">
        <f>169400-J792</f>
        <v>164290</v>
      </c>
      <c r="L792" s="995">
        <f t="shared" ref="L792:L799" si="24">SUM(K792+J792)</f>
        <v>169400</v>
      </c>
      <c r="M792" s="995">
        <f>186340-12000</f>
        <v>174340</v>
      </c>
    </row>
    <row r="793" spans="1:13" ht="18" customHeight="1" x14ac:dyDescent="0.25">
      <c r="A793" s="986"/>
      <c r="B793" s="987"/>
      <c r="C793" s="987"/>
      <c r="D793" s="987" t="s">
        <v>436</v>
      </c>
      <c r="E793" s="987"/>
      <c r="F793" s="988"/>
      <c r="G793" s="989" t="s">
        <v>391</v>
      </c>
      <c r="H793" s="993" t="s">
        <v>713</v>
      </c>
      <c r="I793" s="994">
        <v>77000</v>
      </c>
      <c r="J793" s="995">
        <v>3000</v>
      </c>
      <c r="K793" s="995">
        <f>84700-J793</f>
        <v>81700</v>
      </c>
      <c r="L793" s="995">
        <f t="shared" si="24"/>
        <v>84700</v>
      </c>
      <c r="M793" s="995">
        <v>93170</v>
      </c>
    </row>
    <row r="794" spans="1:13" ht="18" customHeight="1" x14ac:dyDescent="0.25">
      <c r="A794" s="986"/>
      <c r="B794" s="987"/>
      <c r="C794" s="987"/>
      <c r="D794" s="987" t="s">
        <v>384</v>
      </c>
      <c r="E794" s="987"/>
      <c r="F794" s="988"/>
      <c r="G794" s="989" t="s">
        <v>393</v>
      </c>
      <c r="H794" s="993" t="s">
        <v>714</v>
      </c>
      <c r="I794" s="994">
        <v>82812</v>
      </c>
      <c r="J794" s="995">
        <v>2700</v>
      </c>
      <c r="K794" s="995">
        <f>121000-J794</f>
        <v>118300</v>
      </c>
      <c r="L794" s="995">
        <f t="shared" si="24"/>
        <v>121000</v>
      </c>
      <c r="M794" s="995">
        <f>133100-20000</f>
        <v>113100</v>
      </c>
    </row>
    <row r="795" spans="1:13" ht="18" customHeight="1" x14ac:dyDescent="0.25">
      <c r="A795" s="986"/>
      <c r="B795" s="987"/>
      <c r="C795" s="987"/>
      <c r="D795" s="987" t="s">
        <v>561</v>
      </c>
      <c r="E795" s="987"/>
      <c r="F795" s="988"/>
      <c r="G795" s="989" t="s">
        <v>392</v>
      </c>
      <c r="H795" s="993" t="s">
        <v>724</v>
      </c>
      <c r="I795" s="994">
        <v>1154391.5</v>
      </c>
      <c r="J795" s="995">
        <v>353685.5</v>
      </c>
      <c r="K795" s="995">
        <f>1160038-J795</f>
        <v>806352.5</v>
      </c>
      <c r="L795" s="995">
        <f t="shared" si="24"/>
        <v>1160038</v>
      </c>
      <c r="M795" s="995">
        <v>1276041</v>
      </c>
    </row>
    <row r="796" spans="1:13" ht="18" customHeight="1" x14ac:dyDescent="0.25">
      <c r="A796" s="986"/>
      <c r="B796" s="987"/>
      <c r="C796" s="987"/>
      <c r="D796" s="987" t="s">
        <v>562</v>
      </c>
      <c r="E796" s="987"/>
      <c r="F796" s="988"/>
      <c r="G796" s="989" t="s">
        <v>404</v>
      </c>
      <c r="H796" s="993" t="s">
        <v>725</v>
      </c>
      <c r="I796" s="994">
        <f>36030+28880</f>
        <v>64910</v>
      </c>
      <c r="J796" s="995">
        <v>0</v>
      </c>
      <c r="K796" s="995">
        <f>162935-J796</f>
        <v>162935</v>
      </c>
      <c r="L796" s="995">
        <f t="shared" si="24"/>
        <v>162935</v>
      </c>
      <c r="M796" s="995">
        <v>179228</v>
      </c>
    </row>
    <row r="797" spans="1:13" ht="18" customHeight="1" x14ac:dyDescent="0.25">
      <c r="A797" s="986"/>
      <c r="B797" s="987"/>
      <c r="C797" s="987"/>
      <c r="D797" s="987" t="s">
        <v>565</v>
      </c>
      <c r="E797" s="987"/>
      <c r="F797" s="988"/>
      <c r="G797" s="989" t="s">
        <v>394</v>
      </c>
      <c r="H797" s="993" t="s">
        <v>716</v>
      </c>
      <c r="I797" s="994">
        <v>24000</v>
      </c>
      <c r="J797" s="995">
        <v>12000</v>
      </c>
      <c r="K797" s="995">
        <f>24000-J797</f>
        <v>12000</v>
      </c>
      <c r="L797" s="995">
        <f t="shared" si="24"/>
        <v>24000</v>
      </c>
      <c r="M797" s="995">
        <f>24000+12000</f>
        <v>36000</v>
      </c>
    </row>
    <row r="798" spans="1:13" ht="18" customHeight="1" x14ac:dyDescent="0.25">
      <c r="A798" s="986"/>
      <c r="B798" s="987"/>
      <c r="C798" s="987"/>
      <c r="D798" s="987" t="s">
        <v>945</v>
      </c>
      <c r="E798" s="987"/>
      <c r="F798" s="988"/>
      <c r="G798" s="989" t="s">
        <v>395</v>
      </c>
      <c r="H798" s="993" t="s">
        <v>717</v>
      </c>
      <c r="I798" s="994">
        <v>12100</v>
      </c>
      <c r="J798" s="995">
        <v>2350</v>
      </c>
      <c r="K798" s="995">
        <f>12100-J798</f>
        <v>9750</v>
      </c>
      <c r="L798" s="995">
        <f t="shared" si="24"/>
        <v>12100</v>
      </c>
      <c r="M798" s="995">
        <v>13310</v>
      </c>
    </row>
    <row r="799" spans="1:13" ht="18" customHeight="1" x14ac:dyDescent="0.25">
      <c r="A799" s="986"/>
      <c r="B799" s="987"/>
      <c r="C799" s="987"/>
      <c r="D799" s="987" t="s">
        <v>572</v>
      </c>
      <c r="E799" s="987"/>
      <c r="F799" s="988"/>
      <c r="G799" s="989" t="s">
        <v>396</v>
      </c>
      <c r="H799" s="993" t="s">
        <v>718</v>
      </c>
      <c r="I799" s="994">
        <f>383162.75+9960</f>
        <v>393122.75</v>
      </c>
      <c r="J799" s="995">
        <v>3300</v>
      </c>
      <c r="K799" s="995">
        <f>92200-J799</f>
        <v>88900</v>
      </c>
      <c r="L799" s="995">
        <f t="shared" si="24"/>
        <v>92200</v>
      </c>
      <c r="M799" s="995">
        <v>101420</v>
      </c>
    </row>
    <row r="800" spans="1:13" ht="18" customHeight="1" x14ac:dyDescent="0.25">
      <c r="A800" s="998"/>
      <c r="B800" s="999"/>
      <c r="C800" s="999"/>
      <c r="D800" s="999" t="s">
        <v>763</v>
      </c>
      <c r="E800" s="999"/>
      <c r="F800" s="1000"/>
      <c r="G800" s="1001"/>
      <c r="H800" s="1034"/>
      <c r="I800" s="1002">
        <f>SUM(I792:I799)</f>
        <v>1948695.25</v>
      </c>
      <c r="J800" s="1002">
        <f>SUM(J792:J799)</f>
        <v>382145.5</v>
      </c>
      <c r="K800" s="1002">
        <f>SUM(K792:K799)</f>
        <v>1444227.5</v>
      </c>
      <c r="L800" s="1002">
        <f>SUM(L792:L799)</f>
        <v>1826373</v>
      </c>
      <c r="M800" s="1002">
        <f>SUM(M792:M799)</f>
        <v>1986609</v>
      </c>
    </row>
    <row r="801" spans="1:13" ht="18" customHeight="1" x14ac:dyDescent="0.25">
      <c r="A801" s="986"/>
      <c r="B801" s="987" t="s">
        <v>573</v>
      </c>
      <c r="C801" s="987"/>
      <c r="D801" s="987"/>
      <c r="E801" s="987"/>
      <c r="F801" s="988"/>
      <c r="G801" s="989"/>
      <c r="H801" s="1031"/>
      <c r="I801" s="994"/>
      <c r="J801" s="995"/>
      <c r="K801" s="995"/>
      <c r="L801" s="995"/>
      <c r="M801" s="995"/>
    </row>
    <row r="802" spans="1:13" ht="18" customHeight="1" x14ac:dyDescent="0.25">
      <c r="A802" s="986"/>
      <c r="B802" s="987"/>
      <c r="C802" s="987"/>
      <c r="D802" s="987" t="s">
        <v>697</v>
      </c>
      <c r="E802" s="987"/>
      <c r="F802" s="988"/>
      <c r="G802" s="989" t="s">
        <v>859</v>
      </c>
      <c r="H802" s="993" t="s">
        <v>860</v>
      </c>
      <c r="I802" s="994">
        <v>45698</v>
      </c>
      <c r="J802" s="995">
        <v>0</v>
      </c>
      <c r="K802" s="995">
        <f>0-J802</f>
        <v>0</v>
      </c>
      <c r="L802" s="995">
        <f>SUM(K802+J802)</f>
        <v>0</v>
      </c>
      <c r="M802" s="995">
        <v>0</v>
      </c>
    </row>
    <row r="803" spans="1:13" ht="18" customHeight="1" x14ac:dyDescent="0.25">
      <c r="A803" s="986"/>
      <c r="B803" s="987"/>
      <c r="C803" s="987"/>
      <c r="D803" s="987" t="s">
        <v>868</v>
      </c>
      <c r="E803" s="987"/>
      <c r="F803" s="988"/>
      <c r="G803" s="989"/>
      <c r="H803" s="993" t="s">
        <v>869</v>
      </c>
      <c r="I803" s="994">
        <v>0</v>
      </c>
      <c r="J803" s="995">
        <v>0</v>
      </c>
      <c r="K803" s="995">
        <v>0</v>
      </c>
      <c r="L803" s="995">
        <f>SUM(K803+J803)</f>
        <v>0</v>
      </c>
      <c r="M803" s="995">
        <f>20000</f>
        <v>20000</v>
      </c>
    </row>
    <row r="804" spans="1:13" ht="18" customHeight="1" x14ac:dyDescent="0.25">
      <c r="A804" s="986"/>
      <c r="B804" s="987"/>
      <c r="C804" s="987"/>
      <c r="D804" s="987" t="s">
        <v>862</v>
      </c>
      <c r="E804" s="987"/>
      <c r="F804" s="988"/>
      <c r="G804" s="989" t="s">
        <v>863</v>
      </c>
      <c r="H804" s="993" t="s">
        <v>864</v>
      </c>
      <c r="I804" s="994">
        <v>0</v>
      </c>
      <c r="J804" s="995">
        <v>0</v>
      </c>
      <c r="K804" s="995">
        <f>200000-J804</f>
        <v>200000</v>
      </c>
      <c r="L804" s="995">
        <f>SUM(K804+J804)</f>
        <v>200000</v>
      </c>
      <c r="M804" s="995">
        <v>50000</v>
      </c>
    </row>
    <row r="805" spans="1:13" ht="18" customHeight="1" x14ac:dyDescent="0.25">
      <c r="A805" s="998"/>
      <c r="B805" s="999"/>
      <c r="C805" s="999"/>
      <c r="D805" s="999" t="s">
        <v>808</v>
      </c>
      <c r="E805" s="999"/>
      <c r="F805" s="1000"/>
      <c r="G805" s="1001"/>
      <c r="H805" s="1034"/>
      <c r="I805" s="1002">
        <f>SUM(I802:I804)</f>
        <v>45698</v>
      </c>
      <c r="J805" s="1002">
        <f>SUM(J802:J804)</f>
        <v>0</v>
      </c>
      <c r="K805" s="1002">
        <f>SUM(K802:K804)</f>
        <v>200000</v>
      </c>
      <c r="L805" s="1002">
        <f>SUM(L802:L804)</f>
        <v>200000</v>
      </c>
      <c r="M805" s="1002">
        <f>SUM(M802:M804)</f>
        <v>70000</v>
      </c>
    </row>
    <row r="806" spans="1:13" ht="18" customHeight="1" x14ac:dyDescent="0.25">
      <c r="A806" s="998"/>
      <c r="B806" s="999"/>
      <c r="C806" s="999"/>
      <c r="D806" s="999"/>
      <c r="E806" s="999"/>
      <c r="F806" s="1000"/>
      <c r="G806" s="1001"/>
      <c r="H806" s="1034"/>
      <c r="I806" s="1002"/>
      <c r="J806" s="1005"/>
      <c r="K806" s="1005"/>
      <c r="L806" s="1005"/>
      <c r="M806" s="1005"/>
    </row>
    <row r="807" spans="1:13" ht="18" customHeight="1" x14ac:dyDescent="0.25">
      <c r="A807" s="1006" t="s">
        <v>635</v>
      </c>
      <c r="B807" s="1007"/>
      <c r="C807" s="1007"/>
      <c r="D807" s="1007"/>
      <c r="E807" s="1007"/>
      <c r="F807" s="1008"/>
      <c r="G807" s="1009"/>
      <c r="H807" s="1035"/>
      <c r="I807" s="1011">
        <f>SUM(I805+I800+I790)</f>
        <v>9371687.379999999</v>
      </c>
      <c r="J807" s="1011">
        <f>SUM(J805+J800+J790)</f>
        <v>4609615.0200000005</v>
      </c>
      <c r="K807" s="1011">
        <f>SUM(K805+K800+K790)</f>
        <v>5593465.3200000003</v>
      </c>
      <c r="L807" s="1011">
        <f>SUM(L805+L800+L790)</f>
        <v>10203080.34</v>
      </c>
      <c r="M807" s="1011">
        <f>SUM(M805+M800+M790)</f>
        <v>9853874</v>
      </c>
    </row>
    <row r="808" spans="1:13" ht="18" customHeight="1" x14ac:dyDescent="0.25">
      <c r="A808" s="973"/>
      <c r="B808" s="1012"/>
      <c r="C808" s="973"/>
      <c r="D808" s="973"/>
      <c r="E808" s="973"/>
      <c r="F808" s="973"/>
      <c r="G808" s="973"/>
      <c r="H808" s="1013"/>
      <c r="I808" s="1013"/>
      <c r="J808" s="1014"/>
      <c r="K808" s="1014"/>
      <c r="L808" s="1014"/>
      <c r="M808" s="1014"/>
    </row>
    <row r="809" spans="1:13" ht="18" customHeight="1" x14ac:dyDescent="0.25">
      <c r="A809" s="973"/>
      <c r="B809" s="1012"/>
      <c r="C809" s="973"/>
      <c r="D809" s="973"/>
      <c r="E809" s="973"/>
      <c r="F809" s="973"/>
      <c r="G809" s="973"/>
      <c r="H809" s="1013"/>
      <c r="I809" s="1013"/>
      <c r="J809" s="1014"/>
      <c r="K809" s="1014"/>
      <c r="L809" s="1014"/>
      <c r="M809" s="1014"/>
    </row>
    <row r="810" spans="1:13" ht="18" customHeight="1" x14ac:dyDescent="0.25">
      <c r="A810" s="973"/>
      <c r="B810" s="1012"/>
      <c r="C810" s="973"/>
      <c r="D810" s="973"/>
      <c r="E810" s="973"/>
      <c r="F810" s="973"/>
      <c r="G810" s="973"/>
      <c r="H810" s="1013"/>
      <c r="I810" s="1013"/>
      <c r="J810" s="1014"/>
      <c r="K810" s="1014"/>
      <c r="L810" s="1014"/>
      <c r="M810" s="1014"/>
    </row>
    <row r="811" spans="1:13" s="956" customFormat="1" ht="18" customHeight="1" x14ac:dyDescent="0.25">
      <c r="A811" s="953" t="s">
        <v>636</v>
      </c>
      <c r="B811" s="953"/>
      <c r="C811" s="954"/>
      <c r="D811" s="954"/>
      <c r="E811" s="954"/>
      <c r="F811" s="954"/>
      <c r="G811" s="954"/>
      <c r="H811" s="1017"/>
      <c r="I811" s="1017" t="s">
        <v>637</v>
      </c>
      <c r="J811" s="1014"/>
      <c r="K811" s="1018"/>
      <c r="L811" s="1018" t="s">
        <v>264</v>
      </c>
      <c r="M811" s="1014"/>
    </row>
    <row r="812" spans="1:13" s="956" customFormat="1" ht="18" customHeight="1" x14ac:dyDescent="0.25">
      <c r="A812" s="954"/>
      <c r="B812" s="953"/>
      <c r="C812" s="954"/>
      <c r="F812" s="953"/>
      <c r="G812" s="1103"/>
      <c r="H812" s="1103"/>
      <c r="I812" s="1099"/>
      <c r="J812" s="1099"/>
      <c r="K812" s="1014"/>
      <c r="L812" s="1019"/>
      <c r="M812" s="1014"/>
    </row>
    <row r="813" spans="1:13" s="956" customFormat="1" ht="18" customHeight="1" x14ac:dyDescent="0.25">
      <c r="A813" s="953"/>
      <c r="B813" s="953"/>
      <c r="C813" s="953"/>
      <c r="D813" s="1020"/>
      <c r="E813" s="1020"/>
      <c r="F813" s="1021" t="s">
        <v>937</v>
      </c>
      <c r="G813" s="1022"/>
      <c r="H813" s="1023"/>
      <c r="I813" s="1100" t="s">
        <v>17</v>
      </c>
      <c r="J813" s="1100"/>
      <c r="K813" s="1023"/>
      <c r="L813" s="1100" t="s">
        <v>1495</v>
      </c>
      <c r="M813" s="1100"/>
    </row>
    <row r="814" spans="1:13" s="956" customFormat="1" ht="18" customHeight="1" x14ac:dyDescent="0.25">
      <c r="A814" s="954"/>
      <c r="B814" s="953"/>
      <c r="C814" s="954"/>
      <c r="D814" s="954"/>
      <c r="E814" s="954"/>
      <c r="F814" s="1013" t="s">
        <v>1742</v>
      </c>
      <c r="G814" s="1025"/>
      <c r="H814" s="1025"/>
      <c r="I814" s="1101" t="s">
        <v>18</v>
      </c>
      <c r="J814" s="1101"/>
      <c r="K814" s="1026"/>
      <c r="L814" s="1102" t="s">
        <v>14</v>
      </c>
      <c r="M814" s="1102"/>
    </row>
    <row r="815" spans="1:13" s="956" customFormat="1" ht="18" customHeight="1" x14ac:dyDescent="0.25">
      <c r="A815" s="954"/>
      <c r="B815" s="953"/>
      <c r="C815" s="954"/>
      <c r="D815" s="954"/>
      <c r="E815" s="954"/>
      <c r="F815" s="1024"/>
      <c r="G815" s="1025"/>
      <c r="H815" s="1013"/>
      <c r="I815" s="1013"/>
      <c r="K815" s="1027"/>
      <c r="L815" s="1027"/>
      <c r="M815" s="1014"/>
    </row>
    <row r="816" spans="1:13" s="956" customFormat="1" ht="18" customHeight="1" x14ac:dyDescent="0.25">
      <c r="A816" s="954"/>
      <c r="B816" s="953"/>
      <c r="C816" s="954"/>
      <c r="D816" s="954"/>
      <c r="E816" s="954"/>
      <c r="F816" s="1024"/>
      <c r="G816" s="1025"/>
      <c r="H816" s="1013"/>
      <c r="I816" s="1013"/>
      <c r="K816" s="1027"/>
      <c r="L816" s="1027"/>
      <c r="M816" s="1014"/>
    </row>
    <row r="817" spans="1:13" s="956" customFormat="1" ht="18" customHeight="1" x14ac:dyDescent="0.25">
      <c r="A817" s="954"/>
      <c r="B817" s="953"/>
      <c r="C817" s="954"/>
      <c r="D817" s="954"/>
      <c r="E817" s="954"/>
      <c r="F817" s="1024"/>
      <c r="G817" s="1025"/>
      <c r="H817" s="1013"/>
      <c r="I817" s="1013"/>
      <c r="K817" s="1027"/>
      <c r="L817" s="1027"/>
      <c r="M817" s="1014"/>
    </row>
    <row r="818" spans="1:13" s="956" customFormat="1" ht="18" customHeight="1" x14ac:dyDescent="0.25">
      <c r="A818" s="954"/>
      <c r="B818" s="953"/>
      <c r="C818" s="954"/>
      <c r="D818" s="954"/>
      <c r="E818" s="954"/>
      <c r="F818" s="1024"/>
      <c r="G818" s="1025"/>
      <c r="H818" s="1013"/>
      <c r="I818" s="1013"/>
      <c r="K818" s="1027"/>
      <c r="L818" s="1027"/>
      <c r="M818" s="1014"/>
    </row>
    <row r="819" spans="1:13" s="956" customFormat="1" ht="18" customHeight="1" x14ac:dyDescent="0.25">
      <c r="A819" s="954"/>
      <c r="B819" s="953"/>
      <c r="C819" s="954"/>
      <c r="D819" s="954"/>
      <c r="E819" s="954"/>
      <c r="F819" s="1024"/>
      <c r="G819" s="1025"/>
      <c r="H819" s="1013"/>
      <c r="I819" s="1013"/>
      <c r="K819" s="1027"/>
      <c r="L819" s="1027"/>
      <c r="M819" s="1014"/>
    </row>
    <row r="820" spans="1:13" s="956" customFormat="1" ht="18" customHeight="1" x14ac:dyDescent="0.25">
      <c r="A820" s="954"/>
      <c r="B820" s="953"/>
      <c r="C820" s="954"/>
      <c r="D820" s="954"/>
      <c r="E820" s="954"/>
      <c r="F820" s="1024"/>
      <c r="G820" s="1025"/>
      <c r="H820" s="1013"/>
      <c r="I820" s="1013"/>
      <c r="K820" s="1027"/>
      <c r="L820" s="1027"/>
      <c r="M820" s="1014"/>
    </row>
    <row r="821" spans="1:13" s="956" customFormat="1" ht="18" customHeight="1" x14ac:dyDescent="0.25">
      <c r="A821" s="954"/>
      <c r="B821" s="953"/>
      <c r="C821" s="954"/>
      <c r="D821" s="954"/>
      <c r="E821" s="954"/>
      <c r="F821" s="1024"/>
      <c r="G821" s="1025"/>
      <c r="H821" s="1013"/>
      <c r="I821" s="1013"/>
      <c r="K821" s="1027"/>
      <c r="L821" s="1027"/>
      <c r="M821" s="1014"/>
    </row>
    <row r="822" spans="1:13" s="956" customFormat="1" ht="18" customHeight="1" x14ac:dyDescent="0.25">
      <c r="A822" s="954"/>
      <c r="B822" s="953"/>
      <c r="C822" s="954"/>
      <c r="D822" s="954"/>
      <c r="E822" s="954"/>
      <c r="F822" s="1024"/>
      <c r="G822" s="1025"/>
      <c r="H822" s="1013"/>
      <c r="I822" s="1013"/>
      <c r="K822" s="1027"/>
      <c r="L822" s="1027"/>
      <c r="M822" s="1014"/>
    </row>
    <row r="823" spans="1:13" s="1041" customFormat="1" ht="20.100000000000001" customHeight="1" x14ac:dyDescent="0.35">
      <c r="A823" s="1095" t="s">
        <v>1738</v>
      </c>
      <c r="B823" s="1095"/>
      <c r="C823" s="1095"/>
      <c r="D823" s="1095"/>
      <c r="E823" s="1095"/>
      <c r="F823" s="1095"/>
      <c r="G823" s="1095"/>
      <c r="H823" s="1095"/>
      <c r="I823" s="1095"/>
      <c r="J823" s="1095"/>
      <c r="K823" s="1095"/>
      <c r="L823" s="1095"/>
      <c r="M823" s="1095"/>
    </row>
    <row r="824" spans="1:13" s="956" customFormat="1" ht="18" customHeight="1" x14ac:dyDescent="0.25">
      <c r="A824" s="953"/>
      <c r="B824" s="954"/>
      <c r="C824" s="954"/>
      <c r="D824" s="954"/>
      <c r="E824" s="954"/>
      <c r="F824" s="954"/>
      <c r="G824" s="954"/>
      <c r="H824" s="954"/>
      <c r="I824" s="954"/>
      <c r="J824" s="954"/>
      <c r="K824" s="954"/>
      <c r="L824" s="954"/>
      <c r="M824" s="955"/>
    </row>
    <row r="825" spans="1:13" s="956" customFormat="1" ht="18" customHeight="1" x14ac:dyDescent="0.25">
      <c r="A825" s="1087" t="s">
        <v>21</v>
      </c>
      <c r="B825" s="1087"/>
      <c r="C825" s="1087"/>
      <c r="D825" s="1087"/>
      <c r="E825" s="1087"/>
      <c r="F825" s="1087"/>
      <c r="G825" s="1087"/>
      <c r="H825" s="1087"/>
      <c r="I825" s="1087"/>
      <c r="J825" s="1087"/>
      <c r="K825" s="1087"/>
      <c r="L825" s="1087"/>
      <c r="M825" s="1087"/>
    </row>
    <row r="826" spans="1:13" s="956" customFormat="1" ht="18" customHeight="1" x14ac:dyDescent="0.25">
      <c r="A826" s="1087" t="s">
        <v>364</v>
      </c>
      <c r="B826" s="1087"/>
      <c r="C826" s="1087"/>
      <c r="D826" s="1087"/>
      <c r="E826" s="1087"/>
      <c r="F826" s="1087"/>
      <c r="G826" s="1087"/>
      <c r="H826" s="1087"/>
      <c r="I826" s="1087"/>
      <c r="J826" s="1087"/>
      <c r="K826" s="1087"/>
      <c r="L826" s="1087"/>
      <c r="M826" s="1087"/>
    </row>
    <row r="827" spans="1:13" s="956" customFormat="1" ht="18" customHeight="1" x14ac:dyDescent="0.25">
      <c r="A827" s="957"/>
      <c r="B827" s="957"/>
      <c r="C827" s="957"/>
      <c r="D827" s="957"/>
      <c r="E827" s="957"/>
      <c r="F827" s="957"/>
      <c r="G827" s="957"/>
      <c r="H827" s="957"/>
      <c r="I827" s="957"/>
      <c r="J827" s="957"/>
      <c r="K827" s="957"/>
      <c r="L827" s="957"/>
      <c r="M827" s="957"/>
    </row>
    <row r="828" spans="1:13" s="956" customFormat="1" ht="18" customHeight="1" x14ac:dyDescent="0.25">
      <c r="A828" s="958" t="s">
        <v>1744</v>
      </c>
      <c r="B828" s="957"/>
      <c r="C828" s="959"/>
      <c r="D828" s="957"/>
      <c r="E828" s="957"/>
      <c r="F828" s="957"/>
      <c r="G828" s="957"/>
      <c r="H828" s="957"/>
      <c r="I828" s="957"/>
      <c r="J828" s="957"/>
      <c r="K828" s="957"/>
      <c r="L828" s="957"/>
      <c r="M828" s="957"/>
    </row>
    <row r="829" spans="1:13" s="956" customFormat="1" ht="18" customHeight="1" thickBot="1" x14ac:dyDescent="0.3">
      <c r="A829" s="1087"/>
      <c r="B829" s="1087"/>
      <c r="C829" s="1087"/>
      <c r="D829" s="1087"/>
      <c r="E829" s="1087"/>
      <c r="F829" s="1087"/>
      <c r="G829" s="1087"/>
      <c r="H829" s="1087"/>
      <c r="I829" s="1087"/>
      <c r="J829" s="1087"/>
      <c r="K829" s="1087"/>
      <c r="L829" s="1087"/>
      <c r="M829" s="1087"/>
    </row>
    <row r="830" spans="1:13" ht="18" customHeight="1" x14ac:dyDescent="0.2">
      <c r="A830" s="961"/>
      <c r="B830" s="962"/>
      <c r="C830" s="962"/>
      <c r="D830" s="962"/>
      <c r="E830" s="962"/>
      <c r="F830" s="963"/>
      <c r="G830" s="964"/>
      <c r="H830" s="965"/>
      <c r="I830" s="965"/>
      <c r="J830" s="1089" t="s">
        <v>633</v>
      </c>
      <c r="K830" s="1090"/>
      <c r="L830" s="1091"/>
      <c r="M830" s="966"/>
    </row>
    <row r="831" spans="1:13" ht="18" customHeight="1" x14ac:dyDescent="0.2">
      <c r="A831" s="1092"/>
      <c r="B831" s="1093"/>
      <c r="C831" s="1093"/>
      <c r="D831" s="1093"/>
      <c r="E831" s="1093"/>
      <c r="F831" s="1094"/>
      <c r="G831" s="967"/>
      <c r="H831" s="968"/>
      <c r="I831" s="968" t="s">
        <v>6</v>
      </c>
      <c r="J831" s="968" t="s">
        <v>580</v>
      </c>
      <c r="K831" s="968" t="s">
        <v>581</v>
      </c>
      <c r="L831" s="968"/>
      <c r="M831" s="969" t="s">
        <v>7</v>
      </c>
    </row>
    <row r="832" spans="1:13" ht="18" customHeight="1" x14ac:dyDescent="0.25">
      <c r="A832" s="1092" t="s">
        <v>22</v>
      </c>
      <c r="B832" s="1093"/>
      <c r="C832" s="1093"/>
      <c r="D832" s="1093"/>
      <c r="E832" s="1093"/>
      <c r="F832" s="1094"/>
      <c r="G832" s="970"/>
      <c r="H832" s="971" t="s">
        <v>634</v>
      </c>
      <c r="I832" s="968" t="s">
        <v>579</v>
      </c>
      <c r="J832" s="968" t="s">
        <v>579</v>
      </c>
      <c r="K832" s="968" t="s">
        <v>582</v>
      </c>
      <c r="L832" s="968" t="s">
        <v>15</v>
      </c>
      <c r="M832" s="969" t="s">
        <v>584</v>
      </c>
    </row>
    <row r="833" spans="1:13" ht="18" customHeight="1" x14ac:dyDescent="0.2">
      <c r="A833" s="972"/>
      <c r="B833" s="973"/>
      <c r="C833" s="973"/>
      <c r="D833" s="973"/>
      <c r="E833" s="973"/>
      <c r="F833" s="974"/>
      <c r="G833" s="970"/>
      <c r="H833" s="968"/>
      <c r="I833" s="968">
        <v>2019</v>
      </c>
      <c r="J833" s="968">
        <v>2020</v>
      </c>
      <c r="K833" s="968">
        <v>2020</v>
      </c>
      <c r="L833" s="968">
        <v>2020</v>
      </c>
      <c r="M833" s="969">
        <v>2021</v>
      </c>
    </row>
    <row r="834" spans="1:13" ht="18" customHeight="1" thickBot="1" x14ac:dyDescent="0.25">
      <c r="A834" s="1096"/>
      <c r="B834" s="1097"/>
      <c r="C834" s="1097"/>
      <c r="D834" s="1097"/>
      <c r="E834" s="1097"/>
      <c r="F834" s="1098"/>
      <c r="G834" s="975"/>
      <c r="H834" s="976"/>
      <c r="I834" s="976"/>
      <c r="J834" s="976"/>
      <c r="K834" s="976"/>
      <c r="L834" s="976"/>
      <c r="M834" s="977"/>
    </row>
    <row r="835" spans="1:13" ht="18" customHeight="1" x14ac:dyDescent="0.25">
      <c r="A835" s="978"/>
      <c r="B835" s="979" t="s">
        <v>372</v>
      </c>
      <c r="C835" s="980"/>
      <c r="D835" s="979"/>
      <c r="E835" s="979"/>
      <c r="F835" s="981"/>
      <c r="G835" s="982"/>
      <c r="H835" s="1028"/>
      <c r="I835" s="1029"/>
      <c r="J835" s="1030"/>
      <c r="K835" s="1030"/>
      <c r="L835" s="1030"/>
      <c r="M835" s="1030"/>
    </row>
    <row r="836" spans="1:13" ht="18" customHeight="1" x14ac:dyDescent="0.25">
      <c r="A836" s="986"/>
      <c r="B836" s="987"/>
      <c r="C836" s="987" t="s">
        <v>532</v>
      </c>
      <c r="D836" s="987"/>
      <c r="E836" s="987"/>
      <c r="F836" s="988"/>
      <c r="G836" s="989"/>
      <c r="H836" s="1031"/>
      <c r="I836" s="1032"/>
      <c r="J836" s="1033"/>
      <c r="K836" s="1033"/>
      <c r="L836" s="1033"/>
      <c r="M836" s="1033"/>
    </row>
    <row r="837" spans="1:13" ht="18" customHeight="1" x14ac:dyDescent="0.25">
      <c r="A837" s="986"/>
      <c r="B837" s="987"/>
      <c r="C837" s="987"/>
      <c r="D837" s="987" t="s">
        <v>533</v>
      </c>
      <c r="E837" s="987"/>
      <c r="F837" s="988"/>
      <c r="G837" s="989" t="s">
        <v>603</v>
      </c>
      <c r="H837" s="993" t="s">
        <v>698</v>
      </c>
      <c r="I837" s="994">
        <v>1605378</v>
      </c>
      <c r="J837" s="995">
        <v>854977</v>
      </c>
      <c r="K837" s="995">
        <f>1720973-J837</f>
        <v>865996</v>
      </c>
      <c r="L837" s="995">
        <f>SUM(K837+J837)</f>
        <v>1720973</v>
      </c>
      <c r="M837" s="995">
        <v>1817940</v>
      </c>
    </row>
    <row r="838" spans="1:13" ht="18" customHeight="1" x14ac:dyDescent="0.25">
      <c r="A838" s="986"/>
      <c r="B838" s="987"/>
      <c r="C838" s="987" t="s">
        <v>534</v>
      </c>
      <c r="D838" s="987"/>
      <c r="E838" s="987"/>
      <c r="F838" s="988"/>
      <c r="G838" s="989"/>
      <c r="H838" s="1031"/>
      <c r="I838" s="994"/>
      <c r="J838" s="995"/>
      <c r="K838" s="995"/>
      <c r="L838" s="995"/>
      <c r="M838" s="995"/>
    </row>
    <row r="839" spans="1:13" ht="18" customHeight="1" x14ac:dyDescent="0.25">
      <c r="A839" s="986"/>
      <c r="B839" s="987"/>
      <c r="C839" s="987"/>
      <c r="D839" s="987" t="s">
        <v>535</v>
      </c>
      <c r="E839" s="987"/>
      <c r="F839" s="988"/>
      <c r="G839" s="989" t="s">
        <v>604</v>
      </c>
      <c r="H839" s="993" t="s">
        <v>699</v>
      </c>
      <c r="I839" s="994">
        <v>144000</v>
      </c>
      <c r="J839" s="995">
        <v>72000</v>
      </c>
      <c r="K839" s="995">
        <f>144000-J839</f>
        <v>72000</v>
      </c>
      <c r="L839" s="995">
        <f t="shared" ref="L839:L853" si="25">SUM(K839+J839)</f>
        <v>144000</v>
      </c>
      <c r="M839" s="995">
        <v>144000</v>
      </c>
    </row>
    <row r="840" spans="1:13" ht="18" customHeight="1" x14ac:dyDescent="0.25">
      <c r="A840" s="986"/>
      <c r="B840" s="987"/>
      <c r="C840" s="987"/>
      <c r="D840" s="987" t="s">
        <v>547</v>
      </c>
      <c r="E840" s="987"/>
      <c r="F840" s="988"/>
      <c r="G840" s="989" t="s">
        <v>607</v>
      </c>
      <c r="H840" s="993" t="s">
        <v>702</v>
      </c>
      <c r="I840" s="994">
        <v>36000</v>
      </c>
      <c r="J840" s="995">
        <v>36000</v>
      </c>
      <c r="K840" s="995">
        <f>36000-J840</f>
        <v>0</v>
      </c>
      <c r="L840" s="995">
        <f t="shared" si="25"/>
        <v>36000</v>
      </c>
      <c r="M840" s="995">
        <v>36000</v>
      </c>
    </row>
    <row r="841" spans="1:13" ht="18" customHeight="1" x14ac:dyDescent="0.25">
      <c r="A841" s="986"/>
      <c r="B841" s="987"/>
      <c r="C841" s="987"/>
      <c r="D841" s="987" t="s">
        <v>548</v>
      </c>
      <c r="E841" s="987"/>
      <c r="F841" s="988"/>
      <c r="G841" s="989" t="s">
        <v>608</v>
      </c>
      <c r="H841" s="993" t="s">
        <v>719</v>
      </c>
      <c r="I841" s="994">
        <v>70625</v>
      </c>
      <c r="J841" s="995">
        <v>38034.97</v>
      </c>
      <c r="K841" s="995">
        <f>118800-J841</f>
        <v>80765.03</v>
      </c>
      <c r="L841" s="995">
        <f t="shared" si="25"/>
        <v>118800</v>
      </c>
      <c r="M841" s="995">
        <v>118800</v>
      </c>
    </row>
    <row r="842" spans="1:13" ht="18" customHeight="1" x14ac:dyDescent="0.25">
      <c r="A842" s="986"/>
      <c r="B842" s="987"/>
      <c r="C842" s="987"/>
      <c r="D842" s="987" t="s">
        <v>696</v>
      </c>
      <c r="E842" s="987"/>
      <c r="F842" s="988"/>
      <c r="G842" s="989" t="s">
        <v>609</v>
      </c>
      <c r="H842" s="993" t="s">
        <v>703</v>
      </c>
      <c r="I842" s="994">
        <v>30000</v>
      </c>
      <c r="J842" s="995">
        <v>0</v>
      </c>
      <c r="K842" s="995">
        <f>30000-J842</f>
        <v>30000</v>
      </c>
      <c r="L842" s="995">
        <f t="shared" si="25"/>
        <v>30000</v>
      </c>
      <c r="M842" s="995">
        <v>30000</v>
      </c>
    </row>
    <row r="843" spans="1:13" ht="18" customHeight="1" x14ac:dyDescent="0.25">
      <c r="A843" s="986"/>
      <c r="B843" s="987"/>
      <c r="C843" s="987"/>
      <c r="D843" s="987" t="s">
        <v>549</v>
      </c>
      <c r="E843" s="987"/>
      <c r="F843" s="988"/>
      <c r="G843" s="989" t="s">
        <v>440</v>
      </c>
      <c r="H843" s="993" t="s">
        <v>704</v>
      </c>
      <c r="I843" s="994">
        <v>5000</v>
      </c>
      <c r="J843" s="995">
        <v>5000</v>
      </c>
      <c r="K843" s="995">
        <f>5000-J843</f>
        <v>0</v>
      </c>
      <c r="L843" s="995">
        <f t="shared" si="25"/>
        <v>5000</v>
      </c>
      <c r="M843" s="995">
        <v>10000</v>
      </c>
    </row>
    <row r="844" spans="1:13" ht="18" customHeight="1" x14ac:dyDescent="0.25">
      <c r="A844" s="986"/>
      <c r="B844" s="987"/>
      <c r="C844" s="987"/>
      <c r="D844" s="987" t="s">
        <v>551</v>
      </c>
      <c r="E844" s="987"/>
      <c r="F844" s="988"/>
      <c r="G844" s="989" t="s">
        <v>610</v>
      </c>
      <c r="H844" s="993" t="s">
        <v>720</v>
      </c>
      <c r="I844" s="994">
        <v>163056</v>
      </c>
      <c r="J844" s="995">
        <v>68632.5</v>
      </c>
      <c r="K844" s="995">
        <f>173241-J844</f>
        <v>104608.5</v>
      </c>
      <c r="L844" s="995">
        <f t="shared" si="25"/>
        <v>173241</v>
      </c>
      <c r="M844" s="995">
        <v>173241</v>
      </c>
    </row>
    <row r="845" spans="1:13" ht="18" customHeight="1" x14ac:dyDescent="0.25">
      <c r="A845" s="986"/>
      <c r="B845" s="987"/>
      <c r="C845" s="987"/>
      <c r="D845" s="987" t="s">
        <v>552</v>
      </c>
      <c r="E845" s="987"/>
      <c r="F845" s="988"/>
      <c r="G845" s="989" t="s">
        <v>612</v>
      </c>
      <c r="H845" s="993" t="s">
        <v>705</v>
      </c>
      <c r="I845" s="994">
        <v>30000</v>
      </c>
      <c r="J845" s="995">
        <v>0</v>
      </c>
      <c r="K845" s="995">
        <f>30000-J845</f>
        <v>30000</v>
      </c>
      <c r="L845" s="995">
        <f t="shared" si="25"/>
        <v>30000</v>
      </c>
      <c r="M845" s="995">
        <v>30000</v>
      </c>
    </row>
    <row r="846" spans="1:13" ht="18" customHeight="1" x14ac:dyDescent="0.25">
      <c r="A846" s="986"/>
      <c r="B846" s="987"/>
      <c r="C846" s="987"/>
      <c r="D846" s="987" t="s">
        <v>816</v>
      </c>
      <c r="E846" s="987"/>
      <c r="F846" s="987"/>
      <c r="G846" s="997" t="s">
        <v>440</v>
      </c>
      <c r="H846" s="993" t="s">
        <v>704</v>
      </c>
      <c r="I846" s="994">
        <v>133627</v>
      </c>
      <c r="J846" s="995">
        <f>213838.5-71279.5</f>
        <v>142559</v>
      </c>
      <c r="K846" s="995">
        <f>213838.5-71279.5-J846</f>
        <v>0</v>
      </c>
      <c r="L846" s="995">
        <f t="shared" si="25"/>
        <v>142559</v>
      </c>
      <c r="M846" s="995">
        <v>151495</v>
      </c>
    </row>
    <row r="847" spans="1:13" ht="18" customHeight="1" x14ac:dyDescent="0.25">
      <c r="A847" s="986"/>
      <c r="B847" s="987"/>
      <c r="C847" s="987"/>
      <c r="D847" s="987" t="s">
        <v>553</v>
      </c>
      <c r="E847" s="987"/>
      <c r="F847" s="988"/>
      <c r="G847" s="989" t="s">
        <v>613</v>
      </c>
      <c r="H847" s="993" t="s">
        <v>706</v>
      </c>
      <c r="I847" s="994">
        <v>133936</v>
      </c>
      <c r="J847" s="995">
        <v>0</v>
      </c>
      <c r="K847" s="995">
        <f>143936-J847</f>
        <v>143936</v>
      </c>
      <c r="L847" s="995">
        <f t="shared" si="25"/>
        <v>143936</v>
      </c>
      <c r="M847" s="995">
        <v>151495</v>
      </c>
    </row>
    <row r="848" spans="1:13" ht="18" customHeight="1" x14ac:dyDescent="0.25">
      <c r="A848" s="986"/>
      <c r="B848" s="987"/>
      <c r="C848" s="987"/>
      <c r="D848" s="987" t="s">
        <v>669</v>
      </c>
      <c r="E848" s="987"/>
      <c r="F848" s="988"/>
      <c r="G848" s="989" t="s">
        <v>614</v>
      </c>
      <c r="H848" s="993" t="s">
        <v>707</v>
      </c>
      <c r="I848" s="994">
        <f>175329.36+17316</f>
        <v>192645.36</v>
      </c>
      <c r="J848" s="995">
        <v>80361.600000000006</v>
      </c>
      <c r="K848" s="995">
        <f>206600-J848</f>
        <v>126238.39999999999</v>
      </c>
      <c r="L848" s="995">
        <f t="shared" si="25"/>
        <v>206600</v>
      </c>
      <c r="M848" s="995">
        <v>219000</v>
      </c>
    </row>
    <row r="849" spans="1:14" ht="18" customHeight="1" x14ac:dyDescent="0.25">
      <c r="A849" s="986"/>
      <c r="B849" s="987"/>
      <c r="C849" s="987"/>
      <c r="D849" s="987" t="s">
        <v>554</v>
      </c>
      <c r="E849" s="987"/>
      <c r="F849" s="988"/>
      <c r="G849" s="989" t="s">
        <v>615</v>
      </c>
      <c r="H849" s="993" t="s">
        <v>708</v>
      </c>
      <c r="I849" s="994">
        <v>7200</v>
      </c>
      <c r="J849" s="995">
        <v>3000</v>
      </c>
      <c r="K849" s="995">
        <f>7200-J849</f>
        <v>4200</v>
      </c>
      <c r="L849" s="995">
        <f t="shared" si="25"/>
        <v>7200</v>
      </c>
      <c r="M849" s="995">
        <v>10800</v>
      </c>
    </row>
    <row r="850" spans="1:14" ht="18" customHeight="1" x14ac:dyDescent="0.25">
      <c r="A850" s="986"/>
      <c r="B850" s="987"/>
      <c r="C850" s="987"/>
      <c r="D850" s="987" t="s">
        <v>555</v>
      </c>
      <c r="E850" s="987"/>
      <c r="F850" s="988"/>
      <c r="G850" s="989" t="s">
        <v>616</v>
      </c>
      <c r="H850" s="993" t="s">
        <v>709</v>
      </c>
      <c r="I850" s="994">
        <v>21408.75</v>
      </c>
      <c r="J850" s="995">
        <v>10200</v>
      </c>
      <c r="K850" s="995">
        <f>26100-J850</f>
        <v>15900</v>
      </c>
      <c r="L850" s="995">
        <f t="shared" si="25"/>
        <v>26100</v>
      </c>
      <c r="M850" s="995">
        <v>33000</v>
      </c>
    </row>
    <row r="851" spans="1:14" ht="18" customHeight="1" x14ac:dyDescent="0.25">
      <c r="A851" s="986"/>
      <c r="B851" s="987"/>
      <c r="C851" s="987"/>
      <c r="D851" s="987" t="s">
        <v>665</v>
      </c>
      <c r="E851" s="987"/>
      <c r="F851" s="988"/>
      <c r="G851" s="989" t="s">
        <v>617</v>
      </c>
      <c r="H851" s="993" t="s">
        <v>710</v>
      </c>
      <c r="I851" s="994">
        <f>6600+600</f>
        <v>7200</v>
      </c>
      <c r="J851" s="995">
        <v>3000</v>
      </c>
      <c r="K851" s="995">
        <f>7200-J851</f>
        <v>4200</v>
      </c>
      <c r="L851" s="995">
        <f t="shared" si="25"/>
        <v>7200</v>
      </c>
      <c r="M851" s="995">
        <v>7200</v>
      </c>
    </row>
    <row r="852" spans="1:14" ht="18" customHeight="1" x14ac:dyDescent="0.25">
      <c r="A852" s="986"/>
      <c r="B852" s="987"/>
      <c r="C852" s="987"/>
      <c r="D852" s="987" t="s">
        <v>557</v>
      </c>
      <c r="E852" s="987"/>
      <c r="F852" s="988"/>
      <c r="G852" s="989" t="s">
        <v>403</v>
      </c>
      <c r="H852" s="993" t="s">
        <v>722</v>
      </c>
      <c r="I852" s="994">
        <v>0</v>
      </c>
      <c r="J852" s="995">
        <f>193957.74+71279.5</f>
        <v>265237.24</v>
      </c>
      <c r="K852" s="995">
        <f>193957.74+71279.5-J852</f>
        <v>0</v>
      </c>
      <c r="L852" s="995">
        <f t="shared" si="25"/>
        <v>265237.24</v>
      </c>
      <c r="M852" s="995">
        <v>0</v>
      </c>
    </row>
    <row r="853" spans="1:14" ht="18" customHeight="1" x14ac:dyDescent="0.25">
      <c r="A853" s="986"/>
      <c r="B853" s="987"/>
      <c r="C853" s="987"/>
      <c r="D853" s="987" t="s">
        <v>1563</v>
      </c>
      <c r="E853" s="987"/>
      <c r="F853" s="988"/>
      <c r="G853" s="989"/>
      <c r="H853" s="993" t="s">
        <v>722</v>
      </c>
      <c r="I853" s="994">
        <v>60000</v>
      </c>
      <c r="J853" s="995">
        <v>0</v>
      </c>
      <c r="K853" s="995">
        <v>0</v>
      </c>
      <c r="L853" s="995">
        <f t="shared" si="25"/>
        <v>0</v>
      </c>
      <c r="M853" s="995">
        <v>0</v>
      </c>
    </row>
    <row r="854" spans="1:14" ht="18" customHeight="1" x14ac:dyDescent="0.25">
      <c r="A854" s="998"/>
      <c r="B854" s="999"/>
      <c r="C854" s="999"/>
      <c r="D854" s="999" t="s">
        <v>377</v>
      </c>
      <c r="E854" s="999"/>
      <c r="F854" s="1000"/>
      <c r="G854" s="1001"/>
      <c r="H854" s="1034"/>
      <c r="I854" s="1002">
        <f>SUM(I837:I853)</f>
        <v>2640076.11</v>
      </c>
      <c r="J854" s="1002">
        <f>SUM(J837:J853)</f>
        <v>1579002.31</v>
      </c>
      <c r="K854" s="1002">
        <f>SUM(K837:K853)</f>
        <v>1477843.93</v>
      </c>
      <c r="L854" s="1002">
        <f>SUM(L837:L853)</f>
        <v>3056846.24</v>
      </c>
      <c r="M854" s="1002">
        <f>SUM(M837:M853)</f>
        <v>2932971</v>
      </c>
    </row>
    <row r="855" spans="1:14" ht="18" customHeight="1" x14ac:dyDescent="0.25">
      <c r="A855" s="986"/>
      <c r="B855" s="987" t="s">
        <v>558</v>
      </c>
      <c r="C855" s="987"/>
      <c r="D855" s="987"/>
      <c r="E855" s="987"/>
      <c r="F855" s="988"/>
      <c r="G855" s="989"/>
      <c r="H855" s="1031"/>
      <c r="I855" s="994"/>
      <c r="J855" s="995"/>
      <c r="K855" s="995"/>
      <c r="L855" s="995"/>
      <c r="M855" s="995"/>
    </row>
    <row r="856" spans="1:14" ht="18" customHeight="1" x14ac:dyDescent="0.25">
      <c r="A856" s="986"/>
      <c r="B856" s="987"/>
      <c r="C856" s="987"/>
      <c r="D856" s="987" t="s">
        <v>559</v>
      </c>
      <c r="E856" s="987"/>
      <c r="F856" s="988"/>
      <c r="G856" s="989" t="s">
        <v>390</v>
      </c>
      <c r="H856" s="993" t="s">
        <v>712</v>
      </c>
      <c r="I856" s="994">
        <v>55952.5</v>
      </c>
      <c r="J856" s="995">
        <v>3060</v>
      </c>
      <c r="K856" s="995">
        <f>78650-J856</f>
        <v>75590</v>
      </c>
      <c r="L856" s="995">
        <f t="shared" ref="L856:L861" si="26">SUM(K856+J856)</f>
        <v>78650</v>
      </c>
      <c r="M856" s="995">
        <v>86515</v>
      </c>
    </row>
    <row r="857" spans="1:14" ht="18" customHeight="1" x14ac:dyDescent="0.25">
      <c r="A857" s="986"/>
      <c r="B857" s="987"/>
      <c r="C857" s="987"/>
      <c r="D857" s="987" t="s">
        <v>436</v>
      </c>
      <c r="E857" s="987"/>
      <c r="F857" s="988"/>
      <c r="G857" s="989" t="s">
        <v>391</v>
      </c>
      <c r="H857" s="993" t="s">
        <v>713</v>
      </c>
      <c r="I857" s="994">
        <v>33000</v>
      </c>
      <c r="J857" s="995">
        <v>0</v>
      </c>
      <c r="K857" s="995">
        <f>36300-J857</f>
        <v>36300</v>
      </c>
      <c r="L857" s="995">
        <f t="shared" si="26"/>
        <v>36300</v>
      </c>
      <c r="M857" s="995">
        <v>39930</v>
      </c>
    </row>
    <row r="858" spans="1:14" ht="18" customHeight="1" x14ac:dyDescent="0.25">
      <c r="A858" s="986"/>
      <c r="B858" s="987"/>
      <c r="C858" s="987"/>
      <c r="D858" s="987" t="s">
        <v>384</v>
      </c>
      <c r="E858" s="987"/>
      <c r="F858" s="988"/>
      <c r="G858" s="989" t="s">
        <v>393</v>
      </c>
      <c r="H858" s="993" t="s">
        <v>714</v>
      </c>
      <c r="I858" s="994">
        <v>82812</v>
      </c>
      <c r="J858" s="995">
        <v>0</v>
      </c>
      <c r="K858" s="995">
        <f>100495-J858</f>
        <v>100495</v>
      </c>
      <c r="L858" s="995">
        <f t="shared" si="26"/>
        <v>100495</v>
      </c>
      <c r="M858" s="995">
        <v>110544</v>
      </c>
      <c r="N858" s="1043"/>
    </row>
    <row r="859" spans="1:14" ht="18" customHeight="1" x14ac:dyDescent="0.25">
      <c r="A859" s="986"/>
      <c r="B859" s="987"/>
      <c r="C859" s="987"/>
      <c r="D859" s="987" t="s">
        <v>561</v>
      </c>
      <c r="E859" s="987"/>
      <c r="F859" s="988"/>
      <c r="G859" s="989" t="s">
        <v>392</v>
      </c>
      <c r="H859" s="993" t="s">
        <v>724</v>
      </c>
      <c r="I859" s="994">
        <v>1154391.5</v>
      </c>
      <c r="J859" s="995">
        <v>338381.5</v>
      </c>
      <c r="K859" s="995">
        <f>1154893-J859</f>
        <v>816511.5</v>
      </c>
      <c r="L859" s="995">
        <f t="shared" si="26"/>
        <v>1154893</v>
      </c>
      <c r="M859" s="995">
        <v>1270382</v>
      </c>
      <c r="N859" s="1043"/>
    </row>
    <row r="860" spans="1:14" ht="18" customHeight="1" x14ac:dyDescent="0.25">
      <c r="A860" s="986"/>
      <c r="B860" s="987"/>
      <c r="C860" s="987"/>
      <c r="D860" s="987" t="s">
        <v>945</v>
      </c>
      <c r="E860" s="987"/>
      <c r="F860" s="988"/>
      <c r="G860" s="989" t="s">
        <v>395</v>
      </c>
      <c r="H860" s="993" t="s">
        <v>717</v>
      </c>
      <c r="I860" s="994">
        <v>10090</v>
      </c>
      <c r="J860" s="995">
        <v>0</v>
      </c>
      <c r="K860" s="995">
        <f>12100-J860</f>
        <v>12100</v>
      </c>
      <c r="L860" s="995">
        <f t="shared" si="26"/>
        <v>12100</v>
      </c>
      <c r="M860" s="995">
        <v>13310</v>
      </c>
      <c r="N860" s="1043"/>
    </row>
    <row r="861" spans="1:14" ht="18" customHeight="1" x14ac:dyDescent="0.25">
      <c r="A861" s="986"/>
      <c r="B861" s="987"/>
      <c r="C861" s="987"/>
      <c r="D861" s="987" t="s">
        <v>572</v>
      </c>
      <c r="E861" s="987"/>
      <c r="F861" s="988"/>
      <c r="G861" s="989" t="s">
        <v>396</v>
      </c>
      <c r="H861" s="993" t="s">
        <v>718</v>
      </c>
      <c r="I861" s="994">
        <v>211800</v>
      </c>
      <c r="J861" s="995">
        <v>0</v>
      </c>
      <c r="K861" s="995">
        <f>62100-J861</f>
        <v>62100</v>
      </c>
      <c r="L861" s="995">
        <f t="shared" si="26"/>
        <v>62100</v>
      </c>
      <c r="M861" s="995">
        <v>68310</v>
      </c>
      <c r="N861" s="1043"/>
    </row>
    <row r="862" spans="1:14" ht="18" customHeight="1" x14ac:dyDescent="0.25">
      <c r="A862" s="998"/>
      <c r="B862" s="999"/>
      <c r="C862" s="999"/>
      <c r="D862" s="999" t="s">
        <v>763</v>
      </c>
      <c r="E862" s="999"/>
      <c r="F862" s="1000"/>
      <c r="G862" s="1001"/>
      <c r="H862" s="1034"/>
      <c r="I862" s="1002">
        <f>SUM(I856:I861)</f>
        <v>1548046</v>
      </c>
      <c r="J862" s="1002">
        <f>SUM(J856:J861)</f>
        <v>341441.5</v>
      </c>
      <c r="K862" s="1002">
        <f>SUM(K856:K861)</f>
        <v>1103096.5</v>
      </c>
      <c r="L862" s="1002">
        <f>SUM(L856:L861)</f>
        <v>1444538</v>
      </c>
      <c r="M862" s="1002">
        <f>SUM(M856:M861)</f>
        <v>1588991</v>
      </c>
    </row>
    <row r="863" spans="1:14" ht="18" customHeight="1" x14ac:dyDescent="0.25">
      <c r="A863" s="986"/>
      <c r="B863" s="987" t="s">
        <v>573</v>
      </c>
      <c r="C863" s="987"/>
      <c r="D863" s="987"/>
      <c r="E863" s="987"/>
      <c r="F863" s="988"/>
      <c r="G863" s="989"/>
      <c r="H863" s="1031"/>
      <c r="I863" s="994"/>
      <c r="J863" s="995"/>
      <c r="K863" s="995"/>
      <c r="L863" s="995"/>
      <c r="M863" s="995"/>
    </row>
    <row r="864" spans="1:14" ht="18" customHeight="1" x14ac:dyDescent="0.25">
      <c r="A864" s="986"/>
      <c r="B864" s="987"/>
      <c r="C864" s="987"/>
      <c r="D864" s="987" t="s">
        <v>697</v>
      </c>
      <c r="E864" s="987"/>
      <c r="F864" s="988"/>
      <c r="G864" s="989" t="s">
        <v>859</v>
      </c>
      <c r="H864" s="993" t="s">
        <v>860</v>
      </c>
      <c r="I864" s="994">
        <v>40000</v>
      </c>
      <c r="J864" s="995">
        <v>0</v>
      </c>
      <c r="K864" s="995">
        <f>40000-J864</f>
        <v>40000</v>
      </c>
      <c r="L864" s="995">
        <f>SUM(K864+J864)</f>
        <v>40000</v>
      </c>
      <c r="M864" s="995">
        <v>25000</v>
      </c>
    </row>
    <row r="865" spans="1:13" ht="18" customHeight="1" x14ac:dyDescent="0.25">
      <c r="A865" s="998"/>
      <c r="B865" s="999"/>
      <c r="C865" s="999"/>
      <c r="D865" s="999" t="s">
        <v>808</v>
      </c>
      <c r="E865" s="999"/>
      <c r="F865" s="1000"/>
      <c r="G865" s="1001"/>
      <c r="H865" s="1034"/>
      <c r="I865" s="1002">
        <f>SUM(I864)</f>
        <v>40000</v>
      </c>
      <c r="J865" s="1002">
        <f>SUM(J864)</f>
        <v>0</v>
      </c>
      <c r="K865" s="1002">
        <f>SUM(K864)</f>
        <v>40000</v>
      </c>
      <c r="L865" s="1002">
        <f>SUM(L864)</f>
        <v>40000</v>
      </c>
      <c r="M865" s="1002">
        <f>SUM(M864)</f>
        <v>25000</v>
      </c>
    </row>
    <row r="866" spans="1:13" ht="18" customHeight="1" x14ac:dyDescent="0.25">
      <c r="A866" s="998"/>
      <c r="B866" s="999"/>
      <c r="C866" s="999"/>
      <c r="D866" s="999"/>
      <c r="E866" s="999"/>
      <c r="F866" s="1000"/>
      <c r="G866" s="1001"/>
      <c r="H866" s="1034"/>
      <c r="I866" s="1002"/>
      <c r="J866" s="1005"/>
      <c r="K866" s="1005"/>
      <c r="L866" s="1005"/>
      <c r="M866" s="1005"/>
    </row>
    <row r="867" spans="1:13" ht="18" customHeight="1" x14ac:dyDescent="0.25">
      <c r="A867" s="1006" t="s">
        <v>635</v>
      </c>
      <c r="B867" s="1007"/>
      <c r="C867" s="1007"/>
      <c r="D867" s="1007"/>
      <c r="E867" s="1007"/>
      <c r="F867" s="1008"/>
      <c r="G867" s="1009"/>
      <c r="H867" s="1035"/>
      <c r="I867" s="1011">
        <f>SUM(I865+I862+I854)</f>
        <v>4228122.1099999994</v>
      </c>
      <c r="J867" s="1011">
        <f>SUM(J865+J862+J854)</f>
        <v>1920443.81</v>
      </c>
      <c r="K867" s="1011">
        <f>SUM(K865+K862+K854)</f>
        <v>2620940.4299999997</v>
      </c>
      <c r="L867" s="1011">
        <f>SUM(L865+L862+L854)</f>
        <v>4541384.24</v>
      </c>
      <c r="M867" s="1011">
        <f>SUM(M865+M862+M854)</f>
        <v>4546962</v>
      </c>
    </row>
    <row r="868" spans="1:13" ht="18" customHeight="1" x14ac:dyDescent="0.25">
      <c r="A868" s="973"/>
      <c r="B868" s="1012"/>
      <c r="C868" s="973"/>
      <c r="D868" s="973"/>
      <c r="E868" s="973"/>
      <c r="F868" s="973"/>
      <c r="G868" s="973"/>
      <c r="H868" s="1013"/>
      <c r="I868" s="1013"/>
      <c r="J868" s="1014"/>
      <c r="K868" s="1014"/>
      <c r="L868" s="1014"/>
      <c r="M868" s="1014"/>
    </row>
    <row r="869" spans="1:13" ht="18" customHeight="1" x14ac:dyDescent="0.25">
      <c r="A869" s="973"/>
      <c r="B869" s="1012"/>
      <c r="C869" s="973"/>
      <c r="D869" s="973"/>
      <c r="E869" s="973"/>
      <c r="F869" s="973"/>
      <c r="G869" s="973"/>
      <c r="H869" s="1013"/>
      <c r="I869" s="1013"/>
      <c r="J869" s="1014"/>
      <c r="K869" s="1014"/>
      <c r="L869" s="1014"/>
      <c r="M869" s="1014"/>
    </row>
    <row r="870" spans="1:13" ht="18" customHeight="1" x14ac:dyDescent="0.25">
      <c r="A870" s="973"/>
      <c r="B870" s="1012"/>
      <c r="C870" s="973"/>
      <c r="D870" s="973"/>
      <c r="E870" s="973"/>
      <c r="F870" s="973"/>
      <c r="G870" s="973"/>
      <c r="H870" s="1013"/>
      <c r="I870" s="1013"/>
      <c r="J870" s="1014"/>
      <c r="K870" s="1014"/>
      <c r="L870" s="1014"/>
      <c r="M870" s="1014"/>
    </row>
    <row r="871" spans="1:13" s="956" customFormat="1" ht="18" customHeight="1" x14ac:dyDescent="0.25">
      <c r="A871" s="953" t="s">
        <v>636</v>
      </c>
      <c r="B871" s="953"/>
      <c r="C871" s="954"/>
      <c r="D871" s="954"/>
      <c r="E871" s="954"/>
      <c r="F871" s="954"/>
      <c r="G871" s="954"/>
      <c r="H871" s="1017"/>
      <c r="I871" s="1017" t="s">
        <v>637</v>
      </c>
      <c r="J871" s="1014"/>
      <c r="K871" s="1018"/>
      <c r="L871" s="1018" t="s">
        <v>264</v>
      </c>
      <c r="M871" s="1014"/>
    </row>
    <row r="872" spans="1:13" s="956" customFormat="1" ht="18" customHeight="1" x14ac:dyDescent="0.25">
      <c r="A872" s="954"/>
      <c r="B872" s="953"/>
      <c r="C872" s="954"/>
      <c r="F872" s="953"/>
      <c r="G872" s="1103"/>
      <c r="H872" s="1103"/>
      <c r="I872" s="1099"/>
      <c r="J872" s="1099"/>
      <c r="K872" s="1014"/>
      <c r="L872" s="1019"/>
      <c r="M872" s="1014"/>
    </row>
    <row r="873" spans="1:13" s="956" customFormat="1" ht="18" customHeight="1" x14ac:dyDescent="0.25">
      <c r="A873" s="953"/>
      <c r="B873" s="953"/>
      <c r="C873" s="953"/>
      <c r="D873" s="1020"/>
      <c r="E873" s="1020"/>
      <c r="F873" s="1021" t="s">
        <v>937</v>
      </c>
      <c r="G873" s="1022"/>
      <c r="H873" s="1023"/>
      <c r="I873" s="1100" t="s">
        <v>17</v>
      </c>
      <c r="J873" s="1100"/>
      <c r="K873" s="1023"/>
      <c r="L873" s="1100" t="s">
        <v>1495</v>
      </c>
      <c r="M873" s="1100"/>
    </row>
    <row r="874" spans="1:13" s="956" customFormat="1" ht="18" customHeight="1" x14ac:dyDescent="0.25">
      <c r="A874" s="954"/>
      <c r="B874" s="953"/>
      <c r="C874" s="954"/>
      <c r="D874" s="954"/>
      <c r="E874" s="954"/>
      <c r="F874" s="1013" t="s">
        <v>1742</v>
      </c>
      <c r="G874" s="1025"/>
      <c r="H874" s="1025"/>
      <c r="I874" s="1101" t="s">
        <v>18</v>
      </c>
      <c r="J874" s="1101"/>
      <c r="K874" s="1026"/>
      <c r="L874" s="1102" t="s">
        <v>14</v>
      </c>
      <c r="M874" s="1102"/>
    </row>
    <row r="875" spans="1:13" s="956" customFormat="1" ht="18" customHeight="1" x14ac:dyDescent="0.25">
      <c r="A875" s="954"/>
      <c r="B875" s="953"/>
      <c r="C875" s="954"/>
      <c r="D875" s="954"/>
      <c r="E875" s="954"/>
      <c r="F875" s="1024"/>
      <c r="G875" s="1025"/>
      <c r="H875" s="1013"/>
      <c r="I875" s="1013"/>
      <c r="K875" s="1027"/>
      <c r="L875" s="1027"/>
      <c r="M875" s="1014"/>
    </row>
    <row r="876" spans="1:13" s="956" customFormat="1" ht="18" customHeight="1" x14ac:dyDescent="0.25">
      <c r="A876" s="954"/>
      <c r="B876" s="953"/>
      <c r="C876" s="954"/>
      <c r="D876" s="954"/>
      <c r="E876" s="954"/>
      <c r="F876" s="1024"/>
      <c r="G876" s="1025"/>
      <c r="H876" s="1013"/>
      <c r="I876" s="1013"/>
      <c r="K876" s="1027"/>
      <c r="L876" s="1027"/>
      <c r="M876" s="1014"/>
    </row>
    <row r="877" spans="1:13" s="956" customFormat="1" ht="18" customHeight="1" x14ac:dyDescent="0.25">
      <c r="A877" s="954"/>
      <c r="B877" s="953"/>
      <c r="C877" s="954"/>
      <c r="D877" s="954"/>
      <c r="E877" s="954"/>
      <c r="F877" s="1024"/>
      <c r="G877" s="1025"/>
      <c r="H877" s="1013"/>
      <c r="I877" s="1013"/>
      <c r="K877" s="1027"/>
      <c r="L877" s="1027"/>
      <c r="M877" s="1014"/>
    </row>
    <row r="878" spans="1:13" s="956" customFormat="1" ht="18" customHeight="1" x14ac:dyDescent="0.25">
      <c r="A878" s="954"/>
      <c r="B878" s="953"/>
      <c r="C878" s="954"/>
      <c r="D878" s="954"/>
      <c r="E878" s="954"/>
      <c r="F878" s="1024"/>
      <c r="G878" s="1025"/>
      <c r="H878" s="1013"/>
      <c r="I878" s="1013"/>
      <c r="K878" s="1027"/>
      <c r="L878" s="1027"/>
      <c r="M878" s="1014"/>
    </row>
    <row r="879" spans="1:13" s="956" customFormat="1" ht="18" customHeight="1" x14ac:dyDescent="0.25">
      <c r="A879" s="954"/>
      <c r="B879" s="953"/>
      <c r="C879" s="954"/>
      <c r="D879" s="954"/>
      <c r="E879" s="954"/>
      <c r="F879" s="1024"/>
      <c r="G879" s="1025"/>
      <c r="H879" s="1013"/>
      <c r="I879" s="1013"/>
      <c r="K879" s="1027"/>
      <c r="L879" s="1027"/>
      <c r="M879" s="1014"/>
    </row>
    <row r="880" spans="1:13" s="956" customFormat="1" ht="18" customHeight="1" x14ac:dyDescent="0.25">
      <c r="A880" s="954"/>
      <c r="B880" s="953"/>
      <c r="C880" s="954"/>
      <c r="D880" s="954"/>
      <c r="E880" s="954"/>
      <c r="F880" s="1024"/>
      <c r="G880" s="1025"/>
      <c r="H880" s="1013"/>
      <c r="I880" s="1013"/>
      <c r="K880" s="1027"/>
      <c r="L880" s="1027"/>
      <c r="M880" s="1014"/>
    </row>
    <row r="881" spans="1:13" s="956" customFormat="1" ht="18" customHeight="1" x14ac:dyDescent="0.25">
      <c r="A881" s="954"/>
      <c r="B881" s="953"/>
      <c r="C881" s="954"/>
      <c r="D881" s="954"/>
      <c r="E881" s="954"/>
      <c r="F881" s="1024"/>
      <c r="G881" s="1025"/>
      <c r="H881" s="1013"/>
      <c r="I881" s="1013"/>
      <c r="K881" s="1027"/>
      <c r="L881" s="1027"/>
      <c r="M881" s="1014"/>
    </row>
    <row r="882" spans="1:13" s="956" customFormat="1" ht="18" customHeight="1" x14ac:dyDescent="0.25">
      <c r="A882" s="954"/>
      <c r="B882" s="953"/>
      <c r="C882" s="954"/>
      <c r="D882" s="954"/>
      <c r="E882" s="954"/>
      <c r="F882" s="1024"/>
      <c r="G882" s="1025"/>
      <c r="H882" s="1013"/>
      <c r="I882" s="1013"/>
      <c r="K882" s="1027"/>
      <c r="L882" s="1027"/>
      <c r="M882" s="1014"/>
    </row>
    <row r="883" spans="1:13" s="956" customFormat="1" ht="18" customHeight="1" x14ac:dyDescent="0.25">
      <c r="A883" s="954"/>
      <c r="B883" s="953"/>
      <c r="C883" s="954"/>
      <c r="D883" s="954"/>
      <c r="E883" s="954"/>
      <c r="F883" s="1024"/>
      <c r="G883" s="1025"/>
      <c r="H883" s="1013"/>
      <c r="I883" s="1013"/>
      <c r="K883" s="1027"/>
      <c r="L883" s="1027"/>
      <c r="M883" s="1014"/>
    </row>
    <row r="884" spans="1:13" s="956" customFormat="1" ht="18" customHeight="1" x14ac:dyDescent="0.25">
      <c r="A884" s="954"/>
      <c r="B884" s="953"/>
      <c r="C884" s="954"/>
      <c r="D884" s="954"/>
      <c r="E884" s="954"/>
      <c r="F884" s="1024"/>
      <c r="G884" s="1025"/>
      <c r="H884" s="1013"/>
      <c r="I884" s="1013"/>
      <c r="K884" s="1027"/>
      <c r="L884" s="1027"/>
      <c r="M884" s="1014"/>
    </row>
    <row r="885" spans="1:13" s="956" customFormat="1" ht="18" customHeight="1" x14ac:dyDescent="0.25">
      <c r="A885" s="954"/>
      <c r="B885" s="953"/>
      <c r="C885" s="954"/>
      <c r="D885" s="954"/>
      <c r="E885" s="954"/>
      <c r="F885" s="1024"/>
      <c r="G885" s="1025"/>
      <c r="H885" s="1013"/>
      <c r="I885" s="1013"/>
      <c r="K885" s="1027"/>
      <c r="L885" s="1027"/>
      <c r="M885" s="1014"/>
    </row>
    <row r="886" spans="1:13" s="956" customFormat="1" ht="18" customHeight="1" x14ac:dyDescent="0.25">
      <c r="A886" s="954"/>
      <c r="B886" s="953"/>
      <c r="C886" s="954"/>
      <c r="D886" s="954"/>
      <c r="E886" s="954"/>
      <c r="F886" s="1024"/>
      <c r="G886" s="1025"/>
      <c r="H886" s="1013"/>
      <c r="I886" s="1013"/>
      <c r="K886" s="1027"/>
      <c r="L886" s="1027"/>
      <c r="M886" s="1014"/>
    </row>
    <row r="887" spans="1:13" s="956" customFormat="1" ht="18" customHeight="1" x14ac:dyDescent="0.25">
      <c r="A887" s="954"/>
      <c r="B887" s="953"/>
      <c r="C887" s="954"/>
      <c r="D887" s="954"/>
      <c r="E887" s="954"/>
      <c r="F887" s="1024"/>
      <c r="G887" s="1025"/>
      <c r="H887" s="1013"/>
      <c r="I887" s="1013"/>
      <c r="K887" s="1027"/>
      <c r="L887" s="1027"/>
      <c r="M887" s="1014"/>
    </row>
    <row r="888" spans="1:13" s="956" customFormat="1" ht="18" customHeight="1" x14ac:dyDescent="0.25">
      <c r="A888" s="954"/>
      <c r="B888" s="953"/>
      <c r="C888" s="954"/>
      <c r="D888" s="954"/>
      <c r="E888" s="954"/>
      <c r="F888" s="1024"/>
      <c r="G888" s="1025"/>
      <c r="H888" s="1013"/>
      <c r="I888" s="1013"/>
      <c r="K888" s="1027"/>
      <c r="L888" s="1027"/>
      <c r="M888" s="1014"/>
    </row>
    <row r="889" spans="1:13" s="1041" customFormat="1" ht="20.100000000000001" customHeight="1" x14ac:dyDescent="0.35">
      <c r="A889" s="1095" t="s">
        <v>997</v>
      </c>
      <c r="B889" s="1095"/>
      <c r="C889" s="1095"/>
      <c r="D889" s="1095"/>
      <c r="E889" s="1095"/>
      <c r="F889" s="1095"/>
      <c r="G889" s="1095"/>
      <c r="H889" s="1095"/>
      <c r="I889" s="1095"/>
      <c r="J889" s="1095"/>
      <c r="K889" s="1095"/>
      <c r="L889" s="1095"/>
      <c r="M889" s="1095"/>
    </row>
    <row r="890" spans="1:13" s="956" customFormat="1" ht="18" customHeight="1" x14ac:dyDescent="0.25">
      <c r="A890" s="953"/>
      <c r="B890" s="954"/>
      <c r="C890" s="954"/>
      <c r="D890" s="954"/>
      <c r="E890" s="954"/>
      <c r="F890" s="954"/>
      <c r="G890" s="954"/>
      <c r="H890" s="954"/>
      <c r="I890" s="954"/>
      <c r="J890" s="954"/>
      <c r="K890" s="954"/>
      <c r="L890" s="954"/>
      <c r="M890" s="955"/>
    </row>
    <row r="891" spans="1:13" s="956" customFormat="1" ht="18" customHeight="1" x14ac:dyDescent="0.25">
      <c r="A891" s="1087" t="s">
        <v>21</v>
      </c>
      <c r="B891" s="1087"/>
      <c r="C891" s="1087"/>
      <c r="D891" s="1087"/>
      <c r="E891" s="1087"/>
      <c r="F891" s="1087"/>
      <c r="G891" s="1087"/>
      <c r="H891" s="1087"/>
      <c r="I891" s="1087"/>
      <c r="J891" s="1087"/>
      <c r="K891" s="1087"/>
      <c r="L891" s="1087"/>
      <c r="M891" s="1087"/>
    </row>
    <row r="892" spans="1:13" s="956" customFormat="1" ht="18" customHeight="1" x14ac:dyDescent="0.25">
      <c r="A892" s="1087" t="s">
        <v>364</v>
      </c>
      <c r="B892" s="1087"/>
      <c r="C892" s="1087"/>
      <c r="D892" s="1087"/>
      <c r="E892" s="1087"/>
      <c r="F892" s="1087"/>
      <c r="G892" s="1087"/>
      <c r="H892" s="1087"/>
      <c r="I892" s="1087"/>
      <c r="J892" s="1087"/>
      <c r="K892" s="1087"/>
      <c r="L892" s="1087"/>
      <c r="M892" s="1087"/>
    </row>
    <row r="893" spans="1:13" s="956" customFormat="1" ht="18" customHeight="1" x14ac:dyDescent="0.25">
      <c r="A893" s="957"/>
      <c r="B893" s="957"/>
      <c r="C893" s="957"/>
      <c r="D893" s="957"/>
      <c r="E893" s="957"/>
      <c r="F893" s="957"/>
      <c r="G893" s="957"/>
      <c r="H893" s="957"/>
      <c r="I893" s="957"/>
      <c r="J893" s="957"/>
      <c r="K893" s="957"/>
      <c r="L893" s="957"/>
      <c r="M893" s="957"/>
    </row>
    <row r="894" spans="1:13" s="956" customFormat="1" ht="18" customHeight="1" x14ac:dyDescent="0.25">
      <c r="A894" s="958" t="s">
        <v>1746</v>
      </c>
      <c r="B894" s="957"/>
      <c r="C894" s="959"/>
      <c r="D894" s="957"/>
      <c r="E894" s="957"/>
      <c r="F894" s="957"/>
      <c r="G894" s="957"/>
      <c r="H894" s="957"/>
      <c r="I894" s="957"/>
      <c r="J894" s="957"/>
      <c r="K894" s="957"/>
      <c r="L894" s="957"/>
      <c r="M894" s="957"/>
    </row>
    <row r="895" spans="1:13" s="956" customFormat="1" ht="18" customHeight="1" thickBot="1" x14ac:dyDescent="0.3">
      <c r="A895" s="1087"/>
      <c r="B895" s="1087"/>
      <c r="C895" s="1087"/>
      <c r="D895" s="1087"/>
      <c r="E895" s="1087"/>
      <c r="F895" s="1087"/>
      <c r="G895" s="1087"/>
      <c r="H895" s="1087"/>
      <c r="I895" s="1087"/>
      <c r="J895" s="1087"/>
      <c r="K895" s="1087"/>
      <c r="L895" s="1087"/>
      <c r="M895" s="1087"/>
    </row>
    <row r="896" spans="1:13" ht="18" customHeight="1" x14ac:dyDescent="0.2">
      <c r="A896" s="961"/>
      <c r="B896" s="962"/>
      <c r="C896" s="962"/>
      <c r="D896" s="962"/>
      <c r="E896" s="962"/>
      <c r="F896" s="963"/>
      <c r="G896" s="964"/>
      <c r="H896" s="965"/>
      <c r="I896" s="965"/>
      <c r="J896" s="1089" t="s">
        <v>633</v>
      </c>
      <c r="K896" s="1090"/>
      <c r="L896" s="1091"/>
      <c r="M896" s="966"/>
    </row>
    <row r="897" spans="1:13" ht="18" customHeight="1" x14ac:dyDescent="0.2">
      <c r="A897" s="1092"/>
      <c r="B897" s="1093"/>
      <c r="C897" s="1093"/>
      <c r="D897" s="1093"/>
      <c r="E897" s="1093"/>
      <c r="F897" s="1094"/>
      <c r="G897" s="967"/>
      <c r="H897" s="968"/>
      <c r="I897" s="968" t="s">
        <v>6</v>
      </c>
      <c r="J897" s="968" t="s">
        <v>580</v>
      </c>
      <c r="K897" s="968" t="s">
        <v>581</v>
      </c>
      <c r="L897" s="968"/>
      <c r="M897" s="969" t="s">
        <v>7</v>
      </c>
    </row>
    <row r="898" spans="1:13" ht="18" customHeight="1" x14ac:dyDescent="0.25">
      <c r="A898" s="1092" t="s">
        <v>22</v>
      </c>
      <c r="B898" s="1093"/>
      <c r="C898" s="1093"/>
      <c r="D898" s="1093"/>
      <c r="E898" s="1093"/>
      <c r="F898" s="1094"/>
      <c r="G898" s="970"/>
      <c r="H898" s="971" t="s">
        <v>634</v>
      </c>
      <c r="I898" s="968" t="s">
        <v>579</v>
      </c>
      <c r="J898" s="968" t="s">
        <v>579</v>
      </c>
      <c r="K898" s="968" t="s">
        <v>582</v>
      </c>
      <c r="L898" s="968" t="s">
        <v>15</v>
      </c>
      <c r="M898" s="969" t="s">
        <v>584</v>
      </c>
    </row>
    <row r="899" spans="1:13" ht="18" customHeight="1" x14ac:dyDescent="0.2">
      <c r="A899" s="972"/>
      <c r="B899" s="973"/>
      <c r="C899" s="973"/>
      <c r="D899" s="973"/>
      <c r="E899" s="973"/>
      <c r="F899" s="974"/>
      <c r="G899" s="970"/>
      <c r="H899" s="968"/>
      <c r="I899" s="968">
        <v>2019</v>
      </c>
      <c r="J899" s="968">
        <v>2020</v>
      </c>
      <c r="K899" s="968">
        <v>2020</v>
      </c>
      <c r="L899" s="968">
        <v>2020</v>
      </c>
      <c r="M899" s="969">
        <v>2021</v>
      </c>
    </row>
    <row r="900" spans="1:13" ht="18" customHeight="1" thickBot="1" x14ac:dyDescent="0.25">
      <c r="A900" s="1096"/>
      <c r="B900" s="1097"/>
      <c r="C900" s="1097"/>
      <c r="D900" s="1097"/>
      <c r="E900" s="1097"/>
      <c r="F900" s="1098"/>
      <c r="G900" s="975"/>
      <c r="H900" s="976"/>
      <c r="I900" s="976"/>
      <c r="J900" s="976"/>
      <c r="K900" s="976"/>
      <c r="L900" s="976"/>
      <c r="M900" s="977"/>
    </row>
    <row r="901" spans="1:13" ht="18" customHeight="1" x14ac:dyDescent="0.25">
      <c r="A901" s="978"/>
      <c r="B901" s="979" t="s">
        <v>372</v>
      </c>
      <c r="C901" s="980"/>
      <c r="D901" s="979"/>
      <c r="E901" s="979"/>
      <c r="F901" s="981"/>
      <c r="G901" s="982"/>
      <c r="H901" s="1028"/>
      <c r="I901" s="1029"/>
      <c r="J901" s="1030"/>
      <c r="K901" s="1030"/>
      <c r="L901" s="1030"/>
      <c r="M901" s="1030"/>
    </row>
    <row r="902" spans="1:13" ht="18" customHeight="1" x14ac:dyDescent="0.25">
      <c r="A902" s="986"/>
      <c r="B902" s="987"/>
      <c r="C902" s="987" t="s">
        <v>532</v>
      </c>
      <c r="D902" s="987"/>
      <c r="E902" s="987"/>
      <c r="F902" s="988"/>
      <c r="G902" s="989"/>
      <c r="H902" s="1031"/>
      <c r="I902" s="1032"/>
      <c r="J902" s="1033"/>
      <c r="K902" s="1033"/>
      <c r="L902" s="1033"/>
      <c r="M902" s="1033"/>
    </row>
    <row r="903" spans="1:13" ht="18" customHeight="1" x14ac:dyDescent="0.25">
      <c r="A903" s="986"/>
      <c r="B903" s="987"/>
      <c r="C903" s="987"/>
      <c r="D903" s="987" t="s">
        <v>533</v>
      </c>
      <c r="E903" s="987"/>
      <c r="F903" s="988"/>
      <c r="G903" s="989" t="s">
        <v>603</v>
      </c>
      <c r="H903" s="993" t="s">
        <v>698</v>
      </c>
      <c r="I903" s="994">
        <v>414492</v>
      </c>
      <c r="J903" s="995">
        <v>218298</v>
      </c>
      <c r="K903" s="995">
        <f>662784-J903</f>
        <v>444486</v>
      </c>
      <c r="L903" s="995">
        <f>SUM(K903+J903)</f>
        <v>662784</v>
      </c>
      <c r="M903" s="995">
        <v>694212</v>
      </c>
    </row>
    <row r="904" spans="1:13" ht="18" customHeight="1" x14ac:dyDescent="0.25">
      <c r="A904" s="986"/>
      <c r="B904" s="987"/>
      <c r="C904" s="987" t="s">
        <v>534</v>
      </c>
      <c r="D904" s="987"/>
      <c r="E904" s="987"/>
      <c r="F904" s="988"/>
      <c r="G904" s="989"/>
      <c r="H904" s="993"/>
      <c r="I904" s="994"/>
      <c r="J904" s="995"/>
      <c r="K904" s="995"/>
      <c r="L904" s="995"/>
      <c r="M904" s="995"/>
    </row>
    <row r="905" spans="1:13" ht="18" customHeight="1" x14ac:dyDescent="0.25">
      <c r="A905" s="986"/>
      <c r="B905" s="987"/>
      <c r="C905" s="987"/>
      <c r="D905" s="987" t="s">
        <v>535</v>
      </c>
      <c r="E905" s="987"/>
      <c r="F905" s="988"/>
      <c r="G905" s="989" t="s">
        <v>604</v>
      </c>
      <c r="H905" s="993" t="s">
        <v>699</v>
      </c>
      <c r="I905" s="994">
        <v>24000</v>
      </c>
      <c r="J905" s="995">
        <v>12000</v>
      </c>
      <c r="K905" s="995">
        <f>48000-J905</f>
        <v>36000</v>
      </c>
      <c r="L905" s="995">
        <f t="shared" ref="L905:L917" si="27">SUM(K905+J905)</f>
        <v>48000</v>
      </c>
      <c r="M905" s="995">
        <v>48000</v>
      </c>
    </row>
    <row r="906" spans="1:13" ht="18" customHeight="1" x14ac:dyDescent="0.25">
      <c r="A906" s="986"/>
      <c r="B906" s="987"/>
      <c r="C906" s="987"/>
      <c r="D906" s="987" t="s">
        <v>547</v>
      </c>
      <c r="E906" s="987"/>
      <c r="F906" s="988"/>
      <c r="G906" s="989" t="s">
        <v>607</v>
      </c>
      <c r="H906" s="993" t="s">
        <v>702</v>
      </c>
      <c r="I906" s="994">
        <v>6000</v>
      </c>
      <c r="J906" s="995">
        <v>6000</v>
      </c>
      <c r="K906" s="995">
        <f>12000-J906</f>
        <v>6000</v>
      </c>
      <c r="L906" s="995">
        <f t="shared" si="27"/>
        <v>12000</v>
      </c>
      <c r="M906" s="995">
        <v>12000</v>
      </c>
    </row>
    <row r="907" spans="1:13" ht="18" customHeight="1" x14ac:dyDescent="0.25">
      <c r="A907" s="986"/>
      <c r="B907" s="987"/>
      <c r="C907" s="987"/>
      <c r="D907" s="987" t="s">
        <v>696</v>
      </c>
      <c r="E907" s="987"/>
      <c r="F907" s="988"/>
      <c r="G907" s="989" t="s">
        <v>609</v>
      </c>
      <c r="H907" s="993" t="s">
        <v>703</v>
      </c>
      <c r="I907" s="994">
        <v>5000</v>
      </c>
      <c r="J907" s="995">
        <v>0</v>
      </c>
      <c r="K907" s="995">
        <f>10000-J907</f>
        <v>10000</v>
      </c>
      <c r="L907" s="995">
        <f t="shared" si="27"/>
        <v>10000</v>
      </c>
      <c r="M907" s="995">
        <v>10000</v>
      </c>
    </row>
    <row r="908" spans="1:13" ht="18" customHeight="1" x14ac:dyDescent="0.25">
      <c r="A908" s="986"/>
      <c r="B908" s="987"/>
      <c r="C908" s="987"/>
      <c r="D908" s="987" t="s">
        <v>552</v>
      </c>
      <c r="E908" s="987"/>
      <c r="F908" s="988"/>
      <c r="G908" s="989" t="s">
        <v>612</v>
      </c>
      <c r="H908" s="993" t="s">
        <v>705</v>
      </c>
      <c r="I908" s="994">
        <v>5000</v>
      </c>
      <c r="J908" s="995">
        <v>0</v>
      </c>
      <c r="K908" s="995">
        <f>10000-J908</f>
        <v>10000</v>
      </c>
      <c r="L908" s="995">
        <f t="shared" si="27"/>
        <v>10000</v>
      </c>
      <c r="M908" s="995">
        <v>10000</v>
      </c>
    </row>
    <row r="909" spans="1:13" ht="18" customHeight="1" x14ac:dyDescent="0.25">
      <c r="A909" s="986"/>
      <c r="B909" s="987"/>
      <c r="C909" s="987"/>
      <c r="D909" s="987" t="s">
        <v>816</v>
      </c>
      <c r="E909" s="987"/>
      <c r="F909" s="987"/>
      <c r="G909" s="997" t="s">
        <v>440</v>
      </c>
      <c r="H909" s="993" t="s">
        <v>704</v>
      </c>
      <c r="I909" s="994">
        <v>34541</v>
      </c>
      <c r="J909" s="995">
        <f>73363.5-37100.5</f>
        <v>36263</v>
      </c>
      <c r="K909" s="995">
        <f>73363.5-37100.5-J909</f>
        <v>0</v>
      </c>
      <c r="L909" s="995">
        <f t="shared" si="27"/>
        <v>36263</v>
      </c>
      <c r="M909" s="995">
        <v>57851</v>
      </c>
    </row>
    <row r="910" spans="1:13" ht="18" customHeight="1" x14ac:dyDescent="0.25">
      <c r="A910" s="986"/>
      <c r="B910" s="987"/>
      <c r="C910" s="987"/>
      <c r="D910" s="987" t="s">
        <v>1562</v>
      </c>
      <c r="E910" s="987"/>
      <c r="F910" s="988"/>
      <c r="G910" s="989"/>
      <c r="H910" s="993" t="s">
        <v>704</v>
      </c>
      <c r="I910" s="994">
        <v>17444.93</v>
      </c>
      <c r="J910" s="995">
        <v>22729.85</v>
      </c>
      <c r="K910" s="995">
        <f>22729.85-J910</f>
        <v>0</v>
      </c>
      <c r="L910" s="995">
        <f t="shared" si="27"/>
        <v>22729.85</v>
      </c>
      <c r="M910" s="995">
        <v>0</v>
      </c>
    </row>
    <row r="911" spans="1:13" ht="18" customHeight="1" x14ac:dyDescent="0.25">
      <c r="A911" s="986"/>
      <c r="B911" s="987"/>
      <c r="C911" s="987"/>
      <c r="D911" s="987" t="s">
        <v>553</v>
      </c>
      <c r="E911" s="987"/>
      <c r="F911" s="988"/>
      <c r="G911" s="989" t="s">
        <v>613</v>
      </c>
      <c r="H911" s="993" t="s">
        <v>706</v>
      </c>
      <c r="I911" s="994">
        <v>34541</v>
      </c>
      <c r="J911" s="995">
        <v>0</v>
      </c>
      <c r="K911" s="995">
        <f>55232-J911</f>
        <v>55232</v>
      </c>
      <c r="L911" s="995">
        <f t="shared" si="27"/>
        <v>55232</v>
      </c>
      <c r="M911" s="995">
        <v>57851</v>
      </c>
    </row>
    <row r="912" spans="1:13" ht="18" customHeight="1" x14ac:dyDescent="0.25">
      <c r="A912" s="986"/>
      <c r="B912" s="987"/>
      <c r="C912" s="987"/>
      <c r="D912" s="987" t="s">
        <v>669</v>
      </c>
      <c r="E912" s="987"/>
      <c r="F912" s="988"/>
      <c r="G912" s="989" t="s">
        <v>614</v>
      </c>
      <c r="H912" s="993" t="s">
        <v>707</v>
      </c>
      <c r="I912" s="994">
        <f>45073.56+4665.48</f>
        <v>49739.039999999994</v>
      </c>
      <c r="J912" s="995">
        <v>20878.68</v>
      </c>
      <c r="K912" s="995">
        <f>79750-J912</f>
        <v>58871.32</v>
      </c>
      <c r="L912" s="995">
        <f t="shared" si="27"/>
        <v>79750</v>
      </c>
      <c r="M912" s="995">
        <v>85000</v>
      </c>
    </row>
    <row r="913" spans="1:13" ht="18" customHeight="1" x14ac:dyDescent="0.25">
      <c r="A913" s="986"/>
      <c r="B913" s="987"/>
      <c r="C913" s="987"/>
      <c r="D913" s="987" t="s">
        <v>554</v>
      </c>
      <c r="E913" s="987"/>
      <c r="F913" s="988"/>
      <c r="G913" s="989" t="s">
        <v>615</v>
      </c>
      <c r="H913" s="993" t="s">
        <v>708</v>
      </c>
      <c r="I913" s="994">
        <v>1200</v>
      </c>
      <c r="J913" s="995">
        <v>500</v>
      </c>
      <c r="K913" s="995">
        <f>2400-J913</f>
        <v>1900</v>
      </c>
      <c r="L913" s="995">
        <f t="shared" si="27"/>
        <v>2400</v>
      </c>
      <c r="M913" s="995">
        <v>3600</v>
      </c>
    </row>
    <row r="914" spans="1:13" ht="18" customHeight="1" x14ac:dyDescent="0.25">
      <c r="A914" s="986"/>
      <c r="B914" s="987"/>
      <c r="C914" s="987"/>
      <c r="D914" s="987" t="s">
        <v>555</v>
      </c>
      <c r="E914" s="987"/>
      <c r="F914" s="988"/>
      <c r="G914" s="989" t="s">
        <v>616</v>
      </c>
      <c r="H914" s="993" t="s">
        <v>709</v>
      </c>
      <c r="I914" s="994">
        <v>5582.5</v>
      </c>
      <c r="J914" s="995">
        <v>2640</v>
      </c>
      <c r="K914" s="995">
        <f>10200-J914</f>
        <v>7560</v>
      </c>
      <c r="L914" s="995">
        <f t="shared" si="27"/>
        <v>10200</v>
      </c>
      <c r="M914" s="995">
        <v>13000</v>
      </c>
    </row>
    <row r="915" spans="1:13" ht="18" customHeight="1" x14ac:dyDescent="0.25">
      <c r="A915" s="986"/>
      <c r="B915" s="987"/>
      <c r="C915" s="987"/>
      <c r="D915" s="987" t="s">
        <v>665</v>
      </c>
      <c r="E915" s="987"/>
      <c r="F915" s="988"/>
      <c r="G915" s="989" t="s">
        <v>617</v>
      </c>
      <c r="H915" s="993" t="s">
        <v>710</v>
      </c>
      <c r="I915" s="994">
        <f>1100+100</f>
        <v>1200</v>
      </c>
      <c r="J915" s="995">
        <v>500</v>
      </c>
      <c r="K915" s="995">
        <f>2400-J915</f>
        <v>1900</v>
      </c>
      <c r="L915" s="995">
        <f t="shared" si="27"/>
        <v>2400</v>
      </c>
      <c r="M915" s="995">
        <v>2400</v>
      </c>
    </row>
    <row r="916" spans="1:13" ht="18" customHeight="1" x14ac:dyDescent="0.25">
      <c r="A916" s="986"/>
      <c r="B916" s="987"/>
      <c r="C916" s="987"/>
      <c r="D916" s="987" t="s">
        <v>557</v>
      </c>
      <c r="E916" s="987"/>
      <c r="F916" s="988"/>
      <c r="G916" s="989" t="s">
        <v>403</v>
      </c>
      <c r="H916" s="993" t="s">
        <v>722</v>
      </c>
      <c r="I916" s="994"/>
      <c r="J916" s="995">
        <f>57671.19+37100.5</f>
        <v>94771.69</v>
      </c>
      <c r="K916" s="995">
        <f>57671.19+37100.5-J916</f>
        <v>0</v>
      </c>
      <c r="L916" s="995">
        <f t="shared" si="27"/>
        <v>94771.69</v>
      </c>
      <c r="M916" s="995">
        <v>0</v>
      </c>
    </row>
    <row r="917" spans="1:13" ht="18" customHeight="1" x14ac:dyDescent="0.25">
      <c r="A917" s="986"/>
      <c r="B917" s="987"/>
      <c r="C917" s="987"/>
      <c r="D917" s="987" t="s">
        <v>1563</v>
      </c>
      <c r="E917" s="987"/>
      <c r="F917" s="988"/>
      <c r="G917" s="989"/>
      <c r="H917" s="993" t="s">
        <v>722</v>
      </c>
      <c r="I917" s="994">
        <v>10000</v>
      </c>
      <c r="J917" s="995">
        <v>0</v>
      </c>
      <c r="K917" s="995">
        <v>0</v>
      </c>
      <c r="L917" s="995">
        <f t="shared" si="27"/>
        <v>0</v>
      </c>
      <c r="M917" s="995">
        <v>0</v>
      </c>
    </row>
    <row r="918" spans="1:13" ht="18" customHeight="1" x14ac:dyDescent="0.25">
      <c r="A918" s="998"/>
      <c r="B918" s="999"/>
      <c r="C918" s="999"/>
      <c r="D918" s="999" t="s">
        <v>377</v>
      </c>
      <c r="E918" s="999"/>
      <c r="F918" s="1000"/>
      <c r="G918" s="1001"/>
      <c r="H918" s="1034"/>
      <c r="I918" s="1002">
        <f>SUM(I903:I917)</f>
        <v>608740.47</v>
      </c>
      <c r="J918" s="1002">
        <f>SUM(J903:J917)</f>
        <v>414581.22</v>
      </c>
      <c r="K918" s="1002">
        <f>SUM(K903:K917)</f>
        <v>631949.31999999995</v>
      </c>
      <c r="L918" s="1002">
        <f>SUM(L903:L917)</f>
        <v>1046530.54</v>
      </c>
      <c r="M918" s="1002">
        <f>SUM(M903:M917)</f>
        <v>993914</v>
      </c>
    </row>
    <row r="919" spans="1:13" ht="18" customHeight="1" x14ac:dyDescent="0.25">
      <c r="A919" s="986"/>
      <c r="B919" s="987" t="s">
        <v>558</v>
      </c>
      <c r="C919" s="987"/>
      <c r="D919" s="987"/>
      <c r="E919" s="987"/>
      <c r="F919" s="988"/>
      <c r="G919" s="989"/>
      <c r="H919" s="1031"/>
      <c r="I919" s="994"/>
      <c r="J919" s="995"/>
      <c r="K919" s="995"/>
      <c r="L919" s="995"/>
      <c r="M919" s="995"/>
    </row>
    <row r="920" spans="1:13" ht="18" customHeight="1" x14ac:dyDescent="0.25">
      <c r="A920" s="986"/>
      <c r="B920" s="987"/>
      <c r="C920" s="987"/>
      <c r="D920" s="987" t="s">
        <v>559</v>
      </c>
      <c r="E920" s="987"/>
      <c r="F920" s="988"/>
      <c r="G920" s="989" t="s">
        <v>390</v>
      </c>
      <c r="H920" s="993" t="s">
        <v>712</v>
      </c>
      <c r="I920" s="994">
        <v>23758</v>
      </c>
      <c r="J920" s="995">
        <v>2550</v>
      </c>
      <c r="K920" s="995">
        <f>100000-J920</f>
        <v>97450</v>
      </c>
      <c r="L920" s="995">
        <f t="shared" ref="L920:L925" si="28">SUM(K920+J920)</f>
        <v>100000</v>
      </c>
      <c r="M920" s="995">
        <f>100000-12000</f>
        <v>88000</v>
      </c>
    </row>
    <row r="921" spans="1:13" ht="18" customHeight="1" x14ac:dyDescent="0.25">
      <c r="A921" s="986"/>
      <c r="B921" s="987"/>
      <c r="C921" s="987"/>
      <c r="D921" s="987" t="s">
        <v>436</v>
      </c>
      <c r="E921" s="987"/>
      <c r="F921" s="988"/>
      <c r="G921" s="989" t="s">
        <v>391</v>
      </c>
      <c r="H921" s="993" t="s">
        <v>713</v>
      </c>
      <c r="I921" s="994">
        <v>9000</v>
      </c>
      <c r="J921" s="995">
        <v>7000</v>
      </c>
      <c r="K921" s="995">
        <f>100000-J921</f>
        <v>93000</v>
      </c>
      <c r="L921" s="995">
        <f t="shared" si="28"/>
        <v>100000</v>
      </c>
      <c r="M921" s="995">
        <v>100000</v>
      </c>
    </row>
    <row r="922" spans="1:13" ht="18" customHeight="1" x14ac:dyDescent="0.25">
      <c r="A922" s="986"/>
      <c r="B922" s="987"/>
      <c r="C922" s="987"/>
      <c r="D922" s="987" t="s">
        <v>384</v>
      </c>
      <c r="E922" s="987"/>
      <c r="F922" s="988"/>
      <c r="G922" s="989" t="s">
        <v>393</v>
      </c>
      <c r="H922" s="993" t="s">
        <v>714</v>
      </c>
      <c r="I922" s="994">
        <v>30220</v>
      </c>
      <c r="J922" s="995">
        <v>0</v>
      </c>
      <c r="K922" s="995">
        <f>80000-J922</f>
        <v>80000</v>
      </c>
      <c r="L922" s="995">
        <f t="shared" si="28"/>
        <v>80000</v>
      </c>
      <c r="M922" s="995">
        <f>80000-20000</f>
        <v>60000</v>
      </c>
    </row>
    <row r="923" spans="1:13" ht="18" customHeight="1" x14ac:dyDescent="0.25">
      <c r="A923" s="986"/>
      <c r="B923" s="987"/>
      <c r="C923" s="987"/>
      <c r="D923" s="987" t="s">
        <v>565</v>
      </c>
      <c r="E923" s="987"/>
      <c r="F923" s="988"/>
      <c r="G923" s="989" t="s">
        <v>394</v>
      </c>
      <c r="H923" s="993" t="s">
        <v>716</v>
      </c>
      <c r="I923" s="994">
        <v>18000</v>
      </c>
      <c r="J923" s="995">
        <v>9000</v>
      </c>
      <c r="K923" s="995">
        <f>18000-J923</f>
        <v>9000</v>
      </c>
      <c r="L923" s="995">
        <f t="shared" si="28"/>
        <v>18000</v>
      </c>
      <c r="M923" s="995">
        <f>24000+12000</f>
        <v>36000</v>
      </c>
    </row>
    <row r="924" spans="1:13" ht="18" customHeight="1" x14ac:dyDescent="0.25">
      <c r="A924" s="986"/>
      <c r="B924" s="987"/>
      <c r="C924" s="987"/>
      <c r="D924" s="987" t="s">
        <v>945</v>
      </c>
      <c r="E924" s="987"/>
      <c r="F924" s="988"/>
      <c r="G924" s="989" t="s">
        <v>395</v>
      </c>
      <c r="H924" s="993" t="s">
        <v>717</v>
      </c>
      <c r="I924" s="994">
        <v>0</v>
      </c>
      <c r="J924" s="995">
        <v>0</v>
      </c>
      <c r="K924" s="995">
        <f>20000-J924</f>
        <v>20000</v>
      </c>
      <c r="L924" s="995">
        <f t="shared" si="28"/>
        <v>20000</v>
      </c>
      <c r="M924" s="995">
        <v>20000</v>
      </c>
    </row>
    <row r="925" spans="1:13" ht="18" customHeight="1" x14ac:dyDescent="0.25">
      <c r="A925" s="986"/>
      <c r="B925" s="987"/>
      <c r="C925" s="987"/>
      <c r="D925" s="987" t="s">
        <v>572</v>
      </c>
      <c r="E925" s="987"/>
      <c r="F925" s="988"/>
      <c r="G925" s="989" t="s">
        <v>396</v>
      </c>
      <c r="H925" s="993" t="s">
        <v>718</v>
      </c>
      <c r="I925" s="994">
        <v>25000</v>
      </c>
      <c r="J925" s="995">
        <v>2750</v>
      </c>
      <c r="K925" s="995">
        <f>15000-J925</f>
        <v>12250</v>
      </c>
      <c r="L925" s="995">
        <f t="shared" si="28"/>
        <v>15000</v>
      </c>
      <c r="M925" s="995">
        <v>15000</v>
      </c>
    </row>
    <row r="926" spans="1:13" ht="18" customHeight="1" x14ac:dyDescent="0.25">
      <c r="A926" s="998"/>
      <c r="B926" s="999"/>
      <c r="C926" s="999"/>
      <c r="D926" s="999" t="s">
        <v>763</v>
      </c>
      <c r="E926" s="999"/>
      <c r="F926" s="1000"/>
      <c r="G926" s="1001"/>
      <c r="H926" s="1034"/>
      <c r="I926" s="1002">
        <f>SUM(I920:I925)</f>
        <v>105978</v>
      </c>
      <c r="J926" s="1002">
        <f>SUM(J920:J925)</f>
        <v>21300</v>
      </c>
      <c r="K926" s="1002">
        <f>SUM(K920:K925)</f>
        <v>311700</v>
      </c>
      <c r="L926" s="1002">
        <f>SUM(L920:L925)</f>
        <v>333000</v>
      </c>
      <c r="M926" s="1002">
        <f>SUM(M920:M925)</f>
        <v>319000</v>
      </c>
    </row>
    <row r="927" spans="1:13" ht="18" customHeight="1" x14ac:dyDescent="0.25">
      <c r="A927" s="986"/>
      <c r="B927" s="987" t="s">
        <v>573</v>
      </c>
      <c r="C927" s="987"/>
      <c r="D927" s="987"/>
      <c r="E927" s="987"/>
      <c r="F927" s="988"/>
      <c r="G927" s="989"/>
      <c r="H927" s="1031"/>
      <c r="I927" s="994"/>
      <c r="J927" s="995"/>
      <c r="K927" s="995"/>
      <c r="L927" s="995"/>
      <c r="M927" s="995"/>
    </row>
    <row r="928" spans="1:13" ht="18" customHeight="1" x14ac:dyDescent="0.25">
      <c r="A928" s="986"/>
      <c r="B928" s="987"/>
      <c r="C928" s="987"/>
      <c r="D928" s="987" t="s">
        <v>697</v>
      </c>
      <c r="E928" s="987"/>
      <c r="F928" s="988"/>
      <c r="G928" s="989" t="s">
        <v>859</v>
      </c>
      <c r="H928" s="993" t="s">
        <v>860</v>
      </c>
      <c r="I928" s="994">
        <v>85300</v>
      </c>
      <c r="J928" s="995">
        <v>0</v>
      </c>
      <c r="K928" s="995">
        <f>200000-J928</f>
        <v>200000</v>
      </c>
      <c r="L928" s="995">
        <f>SUM(K928+J928)</f>
        <v>200000</v>
      </c>
      <c r="M928" s="995">
        <v>200000</v>
      </c>
    </row>
    <row r="929" spans="1:13" ht="18" customHeight="1" x14ac:dyDescent="0.25">
      <c r="A929" s="986"/>
      <c r="B929" s="987"/>
      <c r="C929" s="987"/>
      <c r="D929" s="987" t="s">
        <v>868</v>
      </c>
      <c r="E929" s="987"/>
      <c r="F929" s="988"/>
      <c r="G929" s="989" t="s">
        <v>932</v>
      </c>
      <c r="H929" s="993" t="s">
        <v>869</v>
      </c>
      <c r="I929" s="994">
        <v>0</v>
      </c>
      <c r="J929" s="995">
        <v>0</v>
      </c>
      <c r="K929" s="995">
        <v>0</v>
      </c>
      <c r="L929" s="995">
        <f>SUM(K929+J929)</f>
        <v>0</v>
      </c>
      <c r="M929" s="995">
        <f>20000</f>
        <v>20000</v>
      </c>
    </row>
    <row r="930" spans="1:13" ht="18" customHeight="1" x14ac:dyDescent="0.25">
      <c r="A930" s="986"/>
      <c r="B930" s="987"/>
      <c r="C930" s="987"/>
      <c r="D930" s="987" t="s">
        <v>862</v>
      </c>
      <c r="E930" s="987"/>
      <c r="F930" s="988"/>
      <c r="G930" s="989" t="s">
        <v>863</v>
      </c>
      <c r="H930" s="993" t="s">
        <v>864</v>
      </c>
      <c r="I930" s="994">
        <v>0</v>
      </c>
      <c r="J930" s="995">
        <v>0</v>
      </c>
      <c r="K930" s="995">
        <f>15000-J930</f>
        <v>15000</v>
      </c>
      <c r="L930" s="995">
        <f>SUM(K930+J930)</f>
        <v>15000</v>
      </c>
      <c r="M930" s="995">
        <v>50000</v>
      </c>
    </row>
    <row r="931" spans="1:13" ht="18" customHeight="1" x14ac:dyDescent="0.25">
      <c r="A931" s="998"/>
      <c r="B931" s="999"/>
      <c r="C931" s="999"/>
      <c r="D931" s="999" t="s">
        <v>808</v>
      </c>
      <c r="E931" s="999"/>
      <c r="F931" s="1000"/>
      <c r="G931" s="1001"/>
      <c r="H931" s="1034"/>
      <c r="I931" s="1002">
        <f>SUM(I928:I930)</f>
        <v>85300</v>
      </c>
      <c r="J931" s="1002">
        <f>SUM(J928:J930)</f>
        <v>0</v>
      </c>
      <c r="K931" s="1002">
        <f>SUM(K928:K930)</f>
        <v>215000</v>
      </c>
      <c r="L931" s="1002">
        <f>SUM(L928:L930)</f>
        <v>215000</v>
      </c>
      <c r="M931" s="1002">
        <f>SUM(M928:M930)</f>
        <v>270000</v>
      </c>
    </row>
    <row r="932" spans="1:13" ht="18" customHeight="1" x14ac:dyDescent="0.25">
      <c r="A932" s="998"/>
      <c r="B932" s="999"/>
      <c r="C932" s="999"/>
      <c r="D932" s="999"/>
      <c r="E932" s="999"/>
      <c r="F932" s="1000"/>
      <c r="G932" s="1001"/>
      <c r="H932" s="1034"/>
      <c r="I932" s="1002"/>
      <c r="J932" s="1005"/>
      <c r="K932" s="1005"/>
      <c r="L932" s="1005"/>
      <c r="M932" s="1005"/>
    </row>
    <row r="933" spans="1:13" ht="18" customHeight="1" x14ac:dyDescent="0.25">
      <c r="A933" s="1006" t="s">
        <v>635</v>
      </c>
      <c r="B933" s="1007"/>
      <c r="C933" s="1007"/>
      <c r="D933" s="1007"/>
      <c r="E933" s="1007"/>
      <c r="F933" s="1008"/>
      <c r="G933" s="1009"/>
      <c r="H933" s="1035"/>
      <c r="I933" s="1011">
        <f>SUM(I931+I926+I918)</f>
        <v>800018.47</v>
      </c>
      <c r="J933" s="1011">
        <f>SUM(J931+J926+J918)</f>
        <v>435881.22</v>
      </c>
      <c r="K933" s="1011">
        <f>SUM(K931+K926+K918)</f>
        <v>1158649.3199999998</v>
      </c>
      <c r="L933" s="1011">
        <f>SUM(L931+L926+L918)</f>
        <v>1594530.54</v>
      </c>
      <c r="M933" s="1011">
        <f>SUM(M931+M926+M918)</f>
        <v>1582914</v>
      </c>
    </row>
    <row r="934" spans="1:13" ht="18" customHeight="1" x14ac:dyDescent="0.25">
      <c r="A934" s="973"/>
      <c r="B934" s="1012"/>
      <c r="C934" s="973"/>
      <c r="D934" s="973"/>
      <c r="E934" s="973"/>
      <c r="F934" s="973"/>
      <c r="G934" s="973"/>
      <c r="H934" s="1013"/>
      <c r="I934" s="1013"/>
      <c r="J934" s="1014"/>
      <c r="K934" s="1014"/>
      <c r="L934" s="1014"/>
      <c r="M934" s="1014"/>
    </row>
    <row r="935" spans="1:13" ht="18" customHeight="1" x14ac:dyDescent="0.25">
      <c r="A935" s="973"/>
      <c r="B935" s="1012"/>
      <c r="C935" s="973"/>
      <c r="D935" s="973"/>
      <c r="E935" s="973"/>
      <c r="F935" s="973"/>
      <c r="G935" s="973"/>
      <c r="H935" s="1013"/>
      <c r="I935" s="1013"/>
      <c r="J935" s="1014"/>
      <c r="K935" s="1014"/>
      <c r="L935" s="1014"/>
      <c r="M935" s="1014"/>
    </row>
    <row r="936" spans="1:13" ht="18" customHeight="1" x14ac:dyDescent="0.25">
      <c r="A936" s="973"/>
      <c r="B936" s="1012"/>
      <c r="C936" s="973"/>
      <c r="D936" s="973"/>
      <c r="E936" s="973"/>
      <c r="F936" s="973"/>
      <c r="G936" s="973"/>
      <c r="H936" s="1013"/>
      <c r="I936" s="1013"/>
      <c r="J936" s="1014"/>
      <c r="K936" s="1014"/>
      <c r="L936" s="1014"/>
      <c r="M936" s="1014"/>
    </row>
    <row r="937" spans="1:13" s="956" customFormat="1" ht="18" customHeight="1" x14ac:dyDescent="0.25">
      <c r="A937" s="953" t="s">
        <v>636</v>
      </c>
      <c r="B937" s="953"/>
      <c r="C937" s="954"/>
      <c r="D937" s="954"/>
      <c r="E937" s="954"/>
      <c r="F937" s="954"/>
      <c r="G937" s="954"/>
      <c r="H937" s="1017"/>
      <c r="I937" s="1017" t="s">
        <v>637</v>
      </c>
      <c r="J937" s="1014"/>
      <c r="K937" s="1018"/>
      <c r="L937" s="1018" t="s">
        <v>264</v>
      </c>
      <c r="M937" s="1014"/>
    </row>
    <row r="938" spans="1:13" s="956" customFormat="1" ht="18" customHeight="1" x14ac:dyDescent="0.25">
      <c r="A938" s="954"/>
      <c r="B938" s="953"/>
      <c r="C938" s="954"/>
      <c r="F938" s="953"/>
      <c r="G938" s="1103"/>
      <c r="H938" s="1103"/>
      <c r="I938" s="1099"/>
      <c r="J938" s="1099"/>
      <c r="K938" s="1014"/>
      <c r="L938" s="1019"/>
      <c r="M938" s="1014"/>
    </row>
    <row r="939" spans="1:13" s="956" customFormat="1" ht="18" customHeight="1" x14ac:dyDescent="0.25">
      <c r="A939" s="953"/>
      <c r="B939" s="953"/>
      <c r="C939" s="953"/>
      <c r="D939" s="1020"/>
      <c r="E939" s="1020"/>
      <c r="F939" s="1021" t="s">
        <v>936</v>
      </c>
      <c r="G939" s="1022"/>
      <c r="H939" s="1023"/>
      <c r="I939" s="1100" t="s">
        <v>17</v>
      </c>
      <c r="J939" s="1100"/>
      <c r="K939" s="1023"/>
      <c r="L939" s="1100" t="s">
        <v>1495</v>
      </c>
      <c r="M939" s="1100"/>
    </row>
    <row r="940" spans="1:13" s="956" customFormat="1" ht="18" customHeight="1" x14ac:dyDescent="0.25">
      <c r="A940" s="954"/>
      <c r="B940" s="953"/>
      <c r="C940" s="954"/>
      <c r="D940" s="954"/>
      <c r="E940" s="954"/>
      <c r="F940" s="1013" t="s">
        <v>934</v>
      </c>
      <c r="G940" s="1025"/>
      <c r="H940" s="1025"/>
      <c r="I940" s="1101" t="s">
        <v>18</v>
      </c>
      <c r="J940" s="1101"/>
      <c r="K940" s="1026"/>
      <c r="L940" s="1102" t="s">
        <v>14</v>
      </c>
      <c r="M940" s="1102"/>
    </row>
    <row r="941" spans="1:13" s="956" customFormat="1" ht="18" customHeight="1" x14ac:dyDescent="0.25">
      <c r="A941" s="954"/>
      <c r="B941" s="953"/>
      <c r="C941" s="954"/>
      <c r="D941" s="954"/>
      <c r="E941" s="954"/>
      <c r="F941" s="1024"/>
      <c r="G941" s="1025"/>
      <c r="H941" s="1013"/>
      <c r="I941" s="1013"/>
      <c r="K941" s="1027"/>
      <c r="L941" s="1027"/>
      <c r="M941" s="1014"/>
    </row>
    <row r="942" spans="1:13" s="956" customFormat="1" ht="18" customHeight="1" x14ac:dyDescent="0.25">
      <c r="A942" s="954"/>
      <c r="B942" s="953"/>
      <c r="C942" s="954"/>
      <c r="D942" s="954"/>
      <c r="E942" s="954"/>
      <c r="F942" s="1024"/>
      <c r="G942" s="1025"/>
      <c r="H942" s="1013"/>
      <c r="I942" s="1013"/>
      <c r="K942" s="1027"/>
      <c r="L942" s="1027"/>
      <c r="M942" s="1014"/>
    </row>
    <row r="943" spans="1:13" s="956" customFormat="1" ht="18" customHeight="1" x14ac:dyDescent="0.25">
      <c r="A943" s="954"/>
      <c r="B943" s="953"/>
      <c r="C943" s="954"/>
      <c r="D943" s="954"/>
      <c r="E943" s="954"/>
      <c r="F943" s="1024"/>
      <c r="G943" s="1025"/>
      <c r="H943" s="1013"/>
      <c r="I943" s="1013"/>
      <c r="K943" s="1027"/>
      <c r="L943" s="1027"/>
      <c r="M943" s="1014"/>
    </row>
    <row r="944" spans="1:13" s="956" customFormat="1" ht="18" customHeight="1" x14ac:dyDescent="0.25">
      <c r="A944" s="954"/>
      <c r="B944" s="953"/>
      <c r="C944" s="954"/>
      <c r="D944" s="954"/>
      <c r="E944" s="954"/>
      <c r="F944" s="1024"/>
      <c r="G944" s="1025"/>
      <c r="H944" s="1013"/>
      <c r="I944" s="1013"/>
      <c r="K944" s="1027"/>
      <c r="L944" s="1027"/>
      <c r="M944" s="1014"/>
    </row>
    <row r="945" spans="1:13" s="956" customFormat="1" ht="18" customHeight="1" x14ac:dyDescent="0.25">
      <c r="A945" s="954"/>
      <c r="B945" s="953"/>
      <c r="C945" s="954"/>
      <c r="D945" s="954"/>
      <c r="E945" s="954"/>
      <c r="F945" s="1024"/>
      <c r="G945" s="1025"/>
      <c r="H945" s="1013"/>
      <c r="I945" s="1013"/>
      <c r="K945" s="1027"/>
      <c r="L945" s="1027"/>
      <c r="M945" s="1014"/>
    </row>
    <row r="946" spans="1:13" s="956" customFormat="1" ht="18" customHeight="1" x14ac:dyDescent="0.25">
      <c r="A946" s="954"/>
      <c r="B946" s="953"/>
      <c r="C946" s="954"/>
      <c r="D946" s="954"/>
      <c r="E946" s="954"/>
      <c r="F946" s="1024"/>
      <c r="G946" s="1025"/>
      <c r="H946" s="1013"/>
      <c r="I946" s="1013"/>
      <c r="K946" s="1027"/>
      <c r="L946" s="1027"/>
      <c r="M946" s="1014"/>
    </row>
    <row r="947" spans="1:13" s="956" customFormat="1" ht="18" customHeight="1" x14ac:dyDescent="0.25">
      <c r="A947" s="954"/>
      <c r="B947" s="953"/>
      <c r="C947" s="954"/>
      <c r="D947" s="954"/>
      <c r="E947" s="954"/>
      <c r="F947" s="1024"/>
      <c r="G947" s="1025"/>
      <c r="H947" s="1013"/>
      <c r="I947" s="1013"/>
      <c r="K947" s="1027"/>
      <c r="L947" s="1027"/>
      <c r="M947" s="1014"/>
    </row>
    <row r="948" spans="1:13" s="956" customFormat="1" ht="18" customHeight="1" x14ac:dyDescent="0.25">
      <c r="A948" s="954"/>
      <c r="B948" s="953"/>
      <c r="C948" s="954"/>
      <c r="D948" s="954"/>
      <c r="E948" s="954"/>
      <c r="F948" s="1024"/>
      <c r="G948" s="1025"/>
      <c r="H948" s="1013"/>
      <c r="I948" s="1013"/>
      <c r="K948" s="1027"/>
      <c r="L948" s="1027"/>
      <c r="M948" s="1014"/>
    </row>
    <row r="949" spans="1:13" s="956" customFormat="1" ht="18" customHeight="1" x14ac:dyDescent="0.25">
      <c r="A949" s="954"/>
      <c r="B949" s="953"/>
      <c r="C949" s="954"/>
      <c r="D949" s="954"/>
      <c r="E949" s="954"/>
      <c r="F949" s="1024"/>
      <c r="G949" s="1025"/>
      <c r="H949" s="1013"/>
      <c r="I949" s="1013"/>
      <c r="K949" s="1027"/>
      <c r="L949" s="1027"/>
      <c r="M949" s="1014"/>
    </row>
    <row r="950" spans="1:13" s="956" customFormat="1" ht="18" customHeight="1" x14ac:dyDescent="0.25">
      <c r="A950" s="954"/>
      <c r="B950" s="953"/>
      <c r="C950" s="954"/>
      <c r="D950" s="954"/>
      <c r="E950" s="954"/>
      <c r="F950" s="1024"/>
      <c r="G950" s="1025"/>
      <c r="H950" s="1013"/>
      <c r="I950" s="1013"/>
      <c r="K950" s="1027"/>
      <c r="L950" s="1027"/>
      <c r="M950" s="1014"/>
    </row>
    <row r="951" spans="1:13" s="956" customFormat="1" ht="18" customHeight="1" x14ac:dyDescent="0.25">
      <c r="A951" s="954"/>
      <c r="B951" s="953"/>
      <c r="C951" s="954"/>
      <c r="D951" s="954"/>
      <c r="E951" s="954"/>
      <c r="F951" s="1024"/>
      <c r="G951" s="1025"/>
      <c r="H951" s="1013"/>
      <c r="I951" s="1013"/>
      <c r="K951" s="1027"/>
      <c r="L951" s="1027"/>
      <c r="M951" s="1014"/>
    </row>
    <row r="952" spans="1:13" s="956" customFormat="1" ht="18" customHeight="1" x14ac:dyDescent="0.25">
      <c r="A952" s="954"/>
      <c r="B952" s="953"/>
      <c r="C952" s="954"/>
      <c r="D952" s="954"/>
      <c r="E952" s="954"/>
      <c r="F952" s="1024"/>
      <c r="G952" s="1025"/>
      <c r="H952" s="1013"/>
      <c r="I952" s="1013"/>
      <c r="K952" s="1027"/>
      <c r="L952" s="1027"/>
      <c r="M952" s="1014"/>
    </row>
    <row r="953" spans="1:13" s="956" customFormat="1" ht="18" customHeight="1" x14ac:dyDescent="0.25">
      <c r="A953" s="954"/>
      <c r="B953" s="953"/>
      <c r="C953" s="954"/>
      <c r="D953" s="954"/>
      <c r="E953" s="954"/>
      <c r="F953" s="1024"/>
      <c r="G953" s="1025"/>
      <c r="H953" s="1013"/>
      <c r="I953" s="1013"/>
      <c r="K953" s="1027"/>
      <c r="L953" s="1027"/>
      <c r="M953" s="1014"/>
    </row>
    <row r="954" spans="1:13" s="956" customFormat="1" ht="18" customHeight="1" x14ac:dyDescent="0.25">
      <c r="A954" s="954"/>
      <c r="B954" s="953"/>
      <c r="C954" s="954"/>
      <c r="D954" s="954"/>
      <c r="E954" s="954"/>
      <c r="F954" s="1024"/>
      <c r="G954" s="1025"/>
      <c r="H954" s="1013"/>
      <c r="I954" s="1013"/>
      <c r="K954" s="1027"/>
      <c r="L954" s="1027"/>
      <c r="M954" s="1014"/>
    </row>
    <row r="955" spans="1:13" s="956" customFormat="1" ht="18" customHeight="1" x14ac:dyDescent="0.25">
      <c r="A955" s="954"/>
      <c r="B955" s="953"/>
      <c r="C955" s="954"/>
      <c r="D955" s="954"/>
      <c r="E955" s="954"/>
      <c r="F955" s="1024"/>
      <c r="G955" s="1025"/>
      <c r="H955" s="1013"/>
      <c r="I955" s="1013"/>
      <c r="K955" s="1027"/>
      <c r="L955" s="1027"/>
      <c r="M955" s="1014"/>
    </row>
    <row r="956" spans="1:13" s="956" customFormat="1" ht="18" customHeight="1" x14ac:dyDescent="0.25">
      <c r="A956" s="954"/>
      <c r="B956" s="953"/>
      <c r="C956" s="954"/>
      <c r="D956" s="954"/>
      <c r="E956" s="954"/>
      <c r="F956" s="1024"/>
      <c r="G956" s="1025"/>
      <c r="H956" s="1013"/>
      <c r="I956" s="1013"/>
      <c r="K956" s="1027"/>
      <c r="L956" s="1027"/>
      <c r="M956" s="1014"/>
    </row>
    <row r="957" spans="1:13" s="1041" customFormat="1" ht="20.100000000000001" customHeight="1" x14ac:dyDescent="0.35">
      <c r="A957" s="1095" t="s">
        <v>1743</v>
      </c>
      <c r="B957" s="1095"/>
      <c r="C957" s="1095"/>
      <c r="D957" s="1095"/>
      <c r="E957" s="1095"/>
      <c r="F957" s="1095"/>
      <c r="G957" s="1095"/>
      <c r="H957" s="1095"/>
      <c r="I957" s="1095"/>
      <c r="J957" s="1095"/>
      <c r="K957" s="1095"/>
      <c r="L957" s="1095"/>
      <c r="M957" s="1095"/>
    </row>
    <row r="958" spans="1:13" s="956" customFormat="1" ht="18" customHeight="1" x14ac:dyDescent="0.25">
      <c r="A958" s="953"/>
      <c r="B958" s="954"/>
      <c r="C958" s="954"/>
      <c r="D958" s="954"/>
      <c r="E958" s="954"/>
      <c r="F958" s="954"/>
      <c r="G958" s="954"/>
      <c r="H958" s="954"/>
      <c r="I958" s="954"/>
      <c r="J958" s="954"/>
      <c r="K958" s="954"/>
      <c r="L958" s="954"/>
      <c r="M958" s="955"/>
    </row>
    <row r="959" spans="1:13" s="956" customFormat="1" ht="18" customHeight="1" x14ac:dyDescent="0.25">
      <c r="A959" s="1087" t="s">
        <v>21</v>
      </c>
      <c r="B959" s="1087"/>
      <c r="C959" s="1087"/>
      <c r="D959" s="1087"/>
      <c r="E959" s="1087"/>
      <c r="F959" s="1087"/>
      <c r="G959" s="1087"/>
      <c r="H959" s="1087"/>
      <c r="I959" s="1087"/>
      <c r="J959" s="1087"/>
      <c r="K959" s="1087"/>
      <c r="L959" s="1087"/>
      <c r="M959" s="1087"/>
    </row>
    <row r="960" spans="1:13" s="956" customFormat="1" ht="18" customHeight="1" x14ac:dyDescent="0.25">
      <c r="A960" s="1087" t="s">
        <v>364</v>
      </c>
      <c r="B960" s="1087"/>
      <c r="C960" s="1087"/>
      <c r="D960" s="1087"/>
      <c r="E960" s="1087"/>
      <c r="F960" s="1087"/>
      <c r="G960" s="1087"/>
      <c r="H960" s="1087"/>
      <c r="I960" s="1087"/>
      <c r="J960" s="1087"/>
      <c r="K960" s="1087"/>
      <c r="L960" s="1087"/>
      <c r="M960" s="1087"/>
    </row>
    <row r="961" spans="1:13" s="956" customFormat="1" ht="18" customHeight="1" x14ac:dyDescent="0.25">
      <c r="A961" s="957"/>
      <c r="B961" s="957"/>
      <c r="C961" s="957"/>
      <c r="D961" s="957"/>
      <c r="E961" s="957"/>
      <c r="F961" s="957"/>
      <c r="G961" s="957"/>
      <c r="H961" s="957"/>
      <c r="I961" s="957"/>
      <c r="J961" s="957"/>
      <c r="K961" s="957"/>
      <c r="L961" s="957"/>
      <c r="M961" s="957"/>
    </row>
    <row r="962" spans="1:13" s="956" customFormat="1" ht="18" customHeight="1" x14ac:dyDescent="0.25">
      <c r="A962" s="958" t="s">
        <v>851</v>
      </c>
      <c r="B962" s="957"/>
      <c r="C962" s="959"/>
      <c r="D962" s="957"/>
      <c r="E962" s="957"/>
      <c r="F962" s="957"/>
      <c r="G962" s="957"/>
      <c r="H962" s="957"/>
      <c r="I962" s="957"/>
      <c r="J962" s="957"/>
      <c r="K962" s="957"/>
      <c r="L962" s="957"/>
      <c r="M962" s="957"/>
    </row>
    <row r="963" spans="1:13" s="956" customFormat="1" ht="18" customHeight="1" thickBot="1" x14ac:dyDescent="0.3">
      <c r="A963" s="1087"/>
      <c r="B963" s="1087"/>
      <c r="C963" s="1087"/>
      <c r="D963" s="1087"/>
      <c r="E963" s="1087"/>
      <c r="F963" s="1087"/>
      <c r="G963" s="1087"/>
      <c r="H963" s="1087"/>
      <c r="I963" s="1087"/>
      <c r="J963" s="1087"/>
      <c r="K963" s="1087"/>
      <c r="L963" s="1087"/>
      <c r="M963" s="1087"/>
    </row>
    <row r="964" spans="1:13" ht="18" customHeight="1" x14ac:dyDescent="0.2">
      <c r="A964" s="961"/>
      <c r="B964" s="962"/>
      <c r="C964" s="962"/>
      <c r="D964" s="962"/>
      <c r="E964" s="962"/>
      <c r="F964" s="963"/>
      <c r="G964" s="964"/>
      <c r="H964" s="965"/>
      <c r="I964" s="965"/>
      <c r="J964" s="1089" t="s">
        <v>633</v>
      </c>
      <c r="K964" s="1090"/>
      <c r="L964" s="1091"/>
      <c r="M964" s="966"/>
    </row>
    <row r="965" spans="1:13" ht="18" customHeight="1" x14ac:dyDescent="0.2">
      <c r="A965" s="1092"/>
      <c r="B965" s="1093"/>
      <c r="C965" s="1093"/>
      <c r="D965" s="1093"/>
      <c r="E965" s="1093"/>
      <c r="F965" s="1094"/>
      <c r="G965" s="967"/>
      <c r="H965" s="968"/>
      <c r="I965" s="968" t="s">
        <v>6</v>
      </c>
      <c r="J965" s="968" t="s">
        <v>580</v>
      </c>
      <c r="K965" s="968" t="s">
        <v>581</v>
      </c>
      <c r="L965" s="968"/>
      <c r="M965" s="969" t="s">
        <v>7</v>
      </c>
    </row>
    <row r="966" spans="1:13" ht="18" customHeight="1" x14ac:dyDescent="0.25">
      <c r="A966" s="1092" t="s">
        <v>22</v>
      </c>
      <c r="B966" s="1093"/>
      <c r="C966" s="1093"/>
      <c r="D966" s="1093"/>
      <c r="E966" s="1093"/>
      <c r="F966" s="1094"/>
      <c r="G966" s="970"/>
      <c r="H966" s="971" t="s">
        <v>634</v>
      </c>
      <c r="I966" s="968" t="s">
        <v>579</v>
      </c>
      <c r="J966" s="968" t="s">
        <v>579</v>
      </c>
      <c r="K966" s="968" t="s">
        <v>582</v>
      </c>
      <c r="L966" s="968" t="s">
        <v>15</v>
      </c>
      <c r="M966" s="969" t="s">
        <v>584</v>
      </c>
    </row>
    <row r="967" spans="1:13" ht="18" customHeight="1" x14ac:dyDescent="0.2">
      <c r="A967" s="972"/>
      <c r="B967" s="973"/>
      <c r="C967" s="973"/>
      <c r="D967" s="973"/>
      <c r="E967" s="973"/>
      <c r="F967" s="974"/>
      <c r="G967" s="970"/>
      <c r="H967" s="968"/>
      <c r="I967" s="968">
        <v>2019</v>
      </c>
      <c r="J967" s="968">
        <v>2020</v>
      </c>
      <c r="K967" s="968">
        <v>2020</v>
      </c>
      <c r="L967" s="968">
        <v>2020</v>
      </c>
      <c r="M967" s="969">
        <v>2021</v>
      </c>
    </row>
    <row r="968" spans="1:13" ht="18" customHeight="1" thickBot="1" x14ac:dyDescent="0.25">
      <c r="A968" s="1096"/>
      <c r="B968" s="1097"/>
      <c r="C968" s="1097"/>
      <c r="D968" s="1097"/>
      <c r="E968" s="1097"/>
      <c r="F968" s="1098"/>
      <c r="G968" s="975"/>
      <c r="H968" s="976"/>
      <c r="I968" s="976"/>
      <c r="J968" s="976"/>
      <c r="K968" s="976"/>
      <c r="L968" s="976"/>
      <c r="M968" s="977"/>
    </row>
    <row r="969" spans="1:13" ht="18" customHeight="1" x14ac:dyDescent="0.25">
      <c r="A969" s="978"/>
      <c r="B969" s="979" t="s">
        <v>372</v>
      </c>
      <c r="C969" s="980"/>
      <c r="D969" s="979"/>
      <c r="E969" s="979"/>
      <c r="F969" s="981"/>
      <c r="G969" s="982"/>
      <c r="H969" s="1028"/>
      <c r="I969" s="1029"/>
      <c r="J969" s="1030"/>
      <c r="K969" s="1030"/>
      <c r="L969" s="1030"/>
      <c r="M969" s="1030"/>
    </row>
    <row r="970" spans="1:13" ht="18" customHeight="1" x14ac:dyDescent="0.25">
      <c r="A970" s="986"/>
      <c r="B970" s="987"/>
      <c r="C970" s="987" t="s">
        <v>532</v>
      </c>
      <c r="D970" s="987"/>
      <c r="E970" s="987"/>
      <c r="F970" s="988"/>
      <c r="G970" s="989"/>
      <c r="H970" s="1031"/>
      <c r="I970" s="1032"/>
      <c r="J970" s="1033"/>
      <c r="K970" s="1033"/>
      <c r="L970" s="1033"/>
      <c r="M970" s="1033"/>
    </row>
    <row r="971" spans="1:13" ht="18" customHeight="1" x14ac:dyDescent="0.25">
      <c r="A971" s="986"/>
      <c r="B971" s="987"/>
      <c r="C971" s="987"/>
      <c r="D971" s="987" t="s">
        <v>533</v>
      </c>
      <c r="E971" s="987"/>
      <c r="F971" s="988"/>
      <c r="G971" s="989" t="s">
        <v>603</v>
      </c>
      <c r="H971" s="993" t="s">
        <v>698</v>
      </c>
      <c r="I971" s="994">
        <v>3269137.99</v>
      </c>
      <c r="J971" s="995">
        <v>1661806.73</v>
      </c>
      <c r="K971" s="995">
        <f>3457991-J971</f>
        <v>1796184.27</v>
      </c>
      <c r="L971" s="995">
        <f>SUM(K971+J971)</f>
        <v>3457991</v>
      </c>
      <c r="M971" s="995">
        <v>3782865</v>
      </c>
    </row>
    <row r="972" spans="1:13" ht="18" customHeight="1" x14ac:dyDescent="0.25">
      <c r="A972" s="986"/>
      <c r="B972" s="987"/>
      <c r="C972" s="987"/>
      <c r="D972" s="987" t="s">
        <v>435</v>
      </c>
      <c r="E972" s="987"/>
      <c r="F972" s="988"/>
      <c r="G972" s="989" t="s">
        <v>405</v>
      </c>
      <c r="H972" s="993" t="s">
        <v>754</v>
      </c>
      <c r="I972" s="994">
        <v>902221.36</v>
      </c>
      <c r="J972" s="995">
        <v>644874</v>
      </c>
      <c r="K972" s="995">
        <f>1295976-J972</f>
        <v>651102</v>
      </c>
      <c r="L972" s="995">
        <f>SUM(K972+J972)</f>
        <v>1295976</v>
      </c>
      <c r="M972" s="995">
        <v>1227480</v>
      </c>
    </row>
    <row r="973" spans="1:13" ht="18" customHeight="1" x14ac:dyDescent="0.25">
      <c r="A973" s="986"/>
      <c r="B973" s="987"/>
      <c r="C973" s="987" t="s">
        <v>534</v>
      </c>
      <c r="D973" s="987"/>
      <c r="E973" s="987"/>
      <c r="F973" s="988"/>
      <c r="G973" s="989"/>
      <c r="H973" s="1031"/>
      <c r="I973" s="994"/>
      <c r="J973" s="995"/>
      <c r="K973" s="995"/>
      <c r="L973" s="995"/>
      <c r="M973" s="995"/>
    </row>
    <row r="974" spans="1:13" ht="18" customHeight="1" x14ac:dyDescent="0.25">
      <c r="A974" s="986"/>
      <c r="B974" s="987"/>
      <c r="C974" s="987"/>
      <c r="D974" s="987" t="s">
        <v>535</v>
      </c>
      <c r="E974" s="987"/>
      <c r="F974" s="988"/>
      <c r="G974" s="989" t="s">
        <v>604</v>
      </c>
      <c r="H974" s="993" t="s">
        <v>699</v>
      </c>
      <c r="I974" s="994">
        <v>725584.43</v>
      </c>
      <c r="J974" s="995">
        <v>393818.18</v>
      </c>
      <c r="K974" s="995">
        <f>816000-J974</f>
        <v>422181.82</v>
      </c>
      <c r="L974" s="995">
        <f t="shared" ref="L974:L991" si="29">SUM(K974+J974)</f>
        <v>816000</v>
      </c>
      <c r="M974" s="995">
        <v>816000</v>
      </c>
    </row>
    <row r="975" spans="1:13" ht="18" customHeight="1" x14ac:dyDescent="0.25">
      <c r="A975" s="986"/>
      <c r="B975" s="987"/>
      <c r="C975" s="987"/>
      <c r="D975" s="987" t="s">
        <v>547</v>
      </c>
      <c r="E975" s="987"/>
      <c r="F975" s="988"/>
      <c r="G975" s="989" t="s">
        <v>607</v>
      </c>
      <c r="H975" s="993" t="s">
        <v>702</v>
      </c>
      <c r="I975" s="994">
        <v>156000</v>
      </c>
      <c r="J975" s="995">
        <v>180000</v>
      </c>
      <c r="K975" s="995">
        <f>204000-J975</f>
        <v>24000</v>
      </c>
      <c r="L975" s="995">
        <f t="shared" si="29"/>
        <v>204000</v>
      </c>
      <c r="M975" s="995">
        <v>204000</v>
      </c>
    </row>
    <row r="976" spans="1:13" ht="18" customHeight="1" x14ac:dyDescent="0.25">
      <c r="A976" s="986"/>
      <c r="B976" s="987"/>
      <c r="C976" s="987"/>
      <c r="D976" s="987" t="s">
        <v>548</v>
      </c>
      <c r="E976" s="987"/>
      <c r="F976" s="988"/>
      <c r="G976" s="989" t="s">
        <v>608</v>
      </c>
      <c r="H976" s="993" t="s">
        <v>719</v>
      </c>
      <c r="I976" s="994">
        <v>17400</v>
      </c>
      <c r="J976" s="995">
        <v>7500</v>
      </c>
      <c r="K976" s="995">
        <f>19800-J976</f>
        <v>12300</v>
      </c>
      <c r="L976" s="995">
        <f t="shared" si="29"/>
        <v>19800</v>
      </c>
      <c r="M976" s="995">
        <v>19800</v>
      </c>
    </row>
    <row r="977" spans="1:17" ht="18" customHeight="1" x14ac:dyDescent="0.25">
      <c r="A977" s="986"/>
      <c r="B977" s="987"/>
      <c r="C977" s="987"/>
      <c r="D977" s="987" t="s">
        <v>696</v>
      </c>
      <c r="E977" s="987"/>
      <c r="F977" s="988"/>
      <c r="G977" s="989" t="s">
        <v>609</v>
      </c>
      <c r="H977" s="993" t="s">
        <v>703</v>
      </c>
      <c r="I977" s="994">
        <v>165000</v>
      </c>
      <c r="J977" s="995">
        <v>0</v>
      </c>
      <c r="K977" s="995">
        <f>170000-J977</f>
        <v>170000</v>
      </c>
      <c r="L977" s="995">
        <f t="shared" si="29"/>
        <v>170000</v>
      </c>
      <c r="M977" s="995">
        <v>170000</v>
      </c>
    </row>
    <row r="978" spans="1:17" ht="18" customHeight="1" x14ac:dyDescent="0.25">
      <c r="A978" s="986"/>
      <c r="B978" s="987"/>
      <c r="C978" s="987"/>
      <c r="D978" s="987" t="s">
        <v>549</v>
      </c>
      <c r="E978" s="987"/>
      <c r="F978" s="988"/>
      <c r="G978" s="989" t="s">
        <v>440</v>
      </c>
      <c r="H978" s="993" t="s">
        <v>704</v>
      </c>
      <c r="I978" s="994">
        <v>25000</v>
      </c>
      <c r="J978" s="995">
        <v>10000</v>
      </c>
      <c r="K978" s="995">
        <f>30000-J978</f>
        <v>20000</v>
      </c>
      <c r="L978" s="995">
        <f t="shared" si="29"/>
        <v>30000</v>
      </c>
      <c r="M978" s="995">
        <v>15000</v>
      </c>
    </row>
    <row r="979" spans="1:17" ht="18" customHeight="1" x14ac:dyDescent="0.25">
      <c r="A979" s="986"/>
      <c r="B979" s="987"/>
      <c r="C979" s="987"/>
      <c r="D979" s="987" t="s">
        <v>1562</v>
      </c>
      <c r="E979" s="987"/>
      <c r="F979" s="988"/>
      <c r="G979" s="989"/>
      <c r="H979" s="993" t="s">
        <v>704</v>
      </c>
      <c r="I979" s="994">
        <v>115810</v>
      </c>
      <c r="J979" s="995">
        <v>190105.74</v>
      </c>
      <c r="K979" s="995">
        <f>190105.74-J979</f>
        <v>0</v>
      </c>
      <c r="L979" s="995">
        <f t="shared" si="29"/>
        <v>190105.74</v>
      </c>
      <c r="M979" s="995">
        <v>0</v>
      </c>
    </row>
    <row r="980" spans="1:17" ht="18" customHeight="1" x14ac:dyDescent="0.25">
      <c r="A980" s="986"/>
      <c r="B980" s="987"/>
      <c r="C980" s="987"/>
      <c r="D980" s="987" t="s">
        <v>551</v>
      </c>
      <c r="E980" s="987"/>
      <c r="F980" s="988"/>
      <c r="G980" s="989" t="s">
        <v>610</v>
      </c>
      <c r="H980" s="993" t="s">
        <v>720</v>
      </c>
      <c r="I980" s="994">
        <v>19558</v>
      </c>
      <c r="J980" s="995">
        <v>5334</v>
      </c>
      <c r="K980" s="995">
        <f>21336-J980</f>
        <v>16002</v>
      </c>
      <c r="L980" s="995">
        <f t="shared" si="29"/>
        <v>21336</v>
      </c>
      <c r="M980" s="995">
        <v>21336</v>
      </c>
    </row>
    <row r="981" spans="1:17" ht="18" customHeight="1" x14ac:dyDescent="0.25">
      <c r="A981" s="986"/>
      <c r="B981" s="987"/>
      <c r="C981" s="987"/>
      <c r="D981" s="987" t="s">
        <v>373</v>
      </c>
      <c r="E981" s="987"/>
      <c r="F981" s="988"/>
      <c r="G981" s="989" t="s">
        <v>611</v>
      </c>
      <c r="H981" s="993" t="s">
        <v>721</v>
      </c>
      <c r="I981" s="994">
        <v>50000</v>
      </c>
      <c r="J981" s="995">
        <v>0</v>
      </c>
      <c r="K981" s="995">
        <f>50000-J981</f>
        <v>50000</v>
      </c>
      <c r="L981" s="995">
        <f t="shared" si="29"/>
        <v>50000</v>
      </c>
      <c r="M981" s="995">
        <v>70000</v>
      </c>
    </row>
    <row r="982" spans="1:17" ht="18" customHeight="1" x14ac:dyDescent="0.25">
      <c r="A982" s="986"/>
      <c r="B982" s="987"/>
      <c r="C982" s="987"/>
      <c r="D982" s="987" t="s">
        <v>552</v>
      </c>
      <c r="E982" s="987"/>
      <c r="F982" s="988"/>
      <c r="G982" s="989" t="s">
        <v>612</v>
      </c>
      <c r="H982" s="993" t="s">
        <v>705</v>
      </c>
      <c r="I982" s="994">
        <v>170000</v>
      </c>
      <c r="J982" s="995">
        <v>0</v>
      </c>
      <c r="K982" s="995">
        <f>170000-J982</f>
        <v>170000</v>
      </c>
      <c r="L982" s="995">
        <f t="shared" si="29"/>
        <v>170000</v>
      </c>
      <c r="M982" s="995">
        <v>170000</v>
      </c>
    </row>
    <row r="983" spans="1:17" ht="18" customHeight="1" x14ac:dyDescent="0.25">
      <c r="A983" s="986"/>
      <c r="B983" s="987"/>
      <c r="C983" s="987"/>
      <c r="D983" s="987" t="s">
        <v>816</v>
      </c>
      <c r="E983" s="987"/>
      <c r="F983" s="987"/>
      <c r="G983" s="997" t="s">
        <v>440</v>
      </c>
      <c r="H983" s="993" t="s">
        <v>704</v>
      </c>
      <c r="I983" s="994">
        <v>322076</v>
      </c>
      <c r="J983" s="995">
        <v>385477</v>
      </c>
      <c r="K983" s="995">
        <f>395765-J983</f>
        <v>10288</v>
      </c>
      <c r="L983" s="995">
        <f t="shared" si="29"/>
        <v>395765</v>
      </c>
      <c r="M983" s="995">
        <v>416927</v>
      </c>
    </row>
    <row r="984" spans="1:17" ht="18" customHeight="1" x14ac:dyDescent="0.25">
      <c r="A984" s="986"/>
      <c r="B984" s="987"/>
      <c r="C984" s="987"/>
      <c r="D984" s="987" t="s">
        <v>553</v>
      </c>
      <c r="E984" s="987"/>
      <c r="F984" s="988"/>
      <c r="G984" s="989" t="s">
        <v>613</v>
      </c>
      <c r="H984" s="993" t="s">
        <v>706</v>
      </c>
      <c r="I984" s="994">
        <v>378740</v>
      </c>
      <c r="J984" s="995">
        <v>0</v>
      </c>
      <c r="K984" s="995">
        <f>396413-J984</f>
        <v>396413</v>
      </c>
      <c r="L984" s="995">
        <f t="shared" si="29"/>
        <v>396413</v>
      </c>
      <c r="M984" s="995">
        <v>417831</v>
      </c>
    </row>
    <row r="985" spans="1:17" ht="18" customHeight="1" x14ac:dyDescent="0.25">
      <c r="A985" s="986"/>
      <c r="B985" s="987"/>
      <c r="C985" s="987"/>
      <c r="D985" s="987" t="s">
        <v>669</v>
      </c>
      <c r="E985" s="987"/>
      <c r="F985" s="988"/>
      <c r="G985" s="989" t="s">
        <v>614</v>
      </c>
      <c r="H985" s="993" t="s">
        <v>707</v>
      </c>
      <c r="I985" s="994">
        <v>416609.17</v>
      </c>
      <c r="J985" s="995">
        <v>201458.04</v>
      </c>
      <c r="K985" s="995">
        <f>571200-J985</f>
        <v>369741.95999999996</v>
      </c>
      <c r="L985" s="995">
        <f t="shared" si="29"/>
        <v>571200</v>
      </c>
      <c r="M985" s="995">
        <v>604400</v>
      </c>
    </row>
    <row r="986" spans="1:17" ht="18" customHeight="1" x14ac:dyDescent="0.25">
      <c r="A986" s="986"/>
      <c r="B986" s="987"/>
      <c r="C986" s="987"/>
      <c r="D986" s="987" t="s">
        <v>554</v>
      </c>
      <c r="E986" s="987"/>
      <c r="F986" s="988"/>
      <c r="G986" s="989" t="s">
        <v>615</v>
      </c>
      <c r="H986" s="993" t="s">
        <v>708</v>
      </c>
      <c r="I986" s="994">
        <v>36800</v>
      </c>
      <c r="J986" s="995">
        <v>16500</v>
      </c>
      <c r="K986" s="995">
        <f>40800-J986</f>
        <v>24300</v>
      </c>
      <c r="L986" s="995">
        <f t="shared" si="29"/>
        <v>40800</v>
      </c>
      <c r="M986" s="995">
        <v>61200</v>
      </c>
    </row>
    <row r="987" spans="1:17" ht="18" customHeight="1" x14ac:dyDescent="0.25">
      <c r="A987" s="986"/>
      <c r="B987" s="987"/>
      <c r="C987" s="987"/>
      <c r="D987" s="987" t="s">
        <v>555</v>
      </c>
      <c r="E987" s="987"/>
      <c r="F987" s="988"/>
      <c r="G987" s="989" t="s">
        <v>616</v>
      </c>
      <c r="H987" s="993" t="s">
        <v>709</v>
      </c>
      <c r="I987" s="994">
        <v>57378.75</v>
      </c>
      <c r="J987" s="995">
        <v>28455</v>
      </c>
      <c r="K987" s="995">
        <f>71800-J987</f>
        <v>43345</v>
      </c>
      <c r="L987" s="995">
        <f t="shared" si="29"/>
        <v>71800</v>
      </c>
      <c r="M987" s="995">
        <v>111300</v>
      </c>
    </row>
    <row r="988" spans="1:17" ht="18" customHeight="1" x14ac:dyDescent="0.25">
      <c r="A988" s="986"/>
      <c r="B988" s="987"/>
      <c r="C988" s="987"/>
      <c r="D988" s="987" t="s">
        <v>665</v>
      </c>
      <c r="E988" s="987"/>
      <c r="F988" s="988"/>
      <c r="G988" s="989" t="s">
        <v>617</v>
      </c>
      <c r="H988" s="993" t="s">
        <v>710</v>
      </c>
      <c r="I988" s="994">
        <v>29307.35</v>
      </c>
      <c r="J988" s="995">
        <v>14320.48</v>
      </c>
      <c r="K988" s="995">
        <f>40800-J988</f>
        <v>26479.52</v>
      </c>
      <c r="L988" s="995">
        <f t="shared" si="29"/>
        <v>40800</v>
      </c>
      <c r="M988" s="995">
        <v>40800</v>
      </c>
    </row>
    <row r="989" spans="1:17" ht="18" customHeight="1" x14ac:dyDescent="0.25">
      <c r="A989" s="986"/>
      <c r="B989" s="987"/>
      <c r="C989" s="987"/>
      <c r="D989" s="987" t="s">
        <v>378</v>
      </c>
      <c r="E989" s="987"/>
      <c r="F989" s="987"/>
      <c r="G989" s="997"/>
      <c r="H989" s="993" t="s">
        <v>711</v>
      </c>
      <c r="I989" s="994">
        <v>72593.95</v>
      </c>
      <c r="J989" s="995">
        <v>0</v>
      </c>
      <c r="K989" s="995">
        <f>0-J989</f>
        <v>0</v>
      </c>
      <c r="L989" s="995">
        <f t="shared" si="29"/>
        <v>0</v>
      </c>
      <c r="M989" s="995">
        <v>0</v>
      </c>
    </row>
    <row r="990" spans="1:17" ht="18" customHeight="1" x14ac:dyDescent="0.25">
      <c r="A990" s="986"/>
      <c r="B990" s="987"/>
      <c r="C990" s="987"/>
      <c r="D990" s="987" t="s">
        <v>557</v>
      </c>
      <c r="E990" s="987"/>
      <c r="F990" s="988"/>
      <c r="G990" s="989" t="s">
        <v>403</v>
      </c>
      <c r="H990" s="993" t="s">
        <v>722</v>
      </c>
      <c r="I990" s="994">
        <v>200000</v>
      </c>
      <c r="J990" s="995">
        <v>404109.99</v>
      </c>
      <c r="K990" s="995">
        <f>438890-J990</f>
        <v>34780.010000000009</v>
      </c>
      <c r="L990" s="995">
        <f t="shared" si="29"/>
        <v>438890</v>
      </c>
      <c r="M990" s="995">
        <v>0</v>
      </c>
    </row>
    <row r="991" spans="1:17" ht="18" customHeight="1" x14ac:dyDescent="0.25">
      <c r="A991" s="986"/>
      <c r="B991" s="987"/>
      <c r="C991" s="987"/>
      <c r="D991" s="987" t="s">
        <v>1563</v>
      </c>
      <c r="E991" s="987"/>
      <c r="F991" s="988"/>
      <c r="G991" s="989"/>
      <c r="H991" s="993" t="s">
        <v>722</v>
      </c>
      <c r="I991" s="994">
        <v>220000</v>
      </c>
      <c r="J991" s="995">
        <v>0</v>
      </c>
      <c r="K991" s="995">
        <v>0</v>
      </c>
      <c r="L991" s="995">
        <f t="shared" si="29"/>
        <v>0</v>
      </c>
      <c r="M991" s="995">
        <v>0</v>
      </c>
    </row>
    <row r="992" spans="1:17" ht="18" customHeight="1" x14ac:dyDescent="0.25">
      <c r="A992" s="998"/>
      <c r="B992" s="999"/>
      <c r="C992" s="999"/>
      <c r="D992" s="999" t="s">
        <v>377</v>
      </c>
      <c r="E992" s="999"/>
      <c r="F992" s="1000"/>
      <c r="G992" s="1001"/>
      <c r="H992" s="1034"/>
      <c r="I992" s="1002">
        <f>SUM(I971:I991)</f>
        <v>7349217</v>
      </c>
      <c r="J992" s="1002">
        <f>SUM(J971:J991)</f>
        <v>4143759.16</v>
      </c>
      <c r="K992" s="1002">
        <f>SUM(K971:K991)</f>
        <v>4237117.5799999991</v>
      </c>
      <c r="L992" s="1002">
        <f>SUM(L971:L991)</f>
        <v>8380876.7400000002</v>
      </c>
      <c r="M992" s="1002">
        <f>SUM(M971:M991)</f>
        <v>8148939</v>
      </c>
      <c r="Q992" s="1043"/>
    </row>
    <row r="993" spans="1:13" ht="18" customHeight="1" x14ac:dyDescent="0.25">
      <c r="A993" s="986"/>
      <c r="B993" s="987" t="s">
        <v>558</v>
      </c>
      <c r="C993" s="987"/>
      <c r="D993" s="987"/>
      <c r="E993" s="987"/>
      <c r="F993" s="988"/>
      <c r="G993" s="989"/>
      <c r="H993" s="1031"/>
      <c r="I993" s="994"/>
      <c r="J993" s="995"/>
      <c r="K993" s="995"/>
      <c r="L993" s="995"/>
      <c r="M993" s="995"/>
    </row>
    <row r="994" spans="1:13" ht="18" customHeight="1" x14ac:dyDescent="0.25">
      <c r="A994" s="986"/>
      <c r="B994" s="987"/>
      <c r="C994" s="987"/>
      <c r="D994" s="987" t="s">
        <v>559</v>
      </c>
      <c r="E994" s="987"/>
      <c r="F994" s="988"/>
      <c r="G994" s="989" t="s">
        <v>390</v>
      </c>
      <c r="H994" s="993" t="s">
        <v>712</v>
      </c>
      <c r="I994" s="994">
        <v>36346.019999999997</v>
      </c>
      <c r="J994" s="995">
        <v>0</v>
      </c>
      <c r="K994" s="995">
        <f>50000-J994</f>
        <v>50000</v>
      </c>
      <c r="L994" s="995">
        <f t="shared" ref="L994:L1003" si="30">SUM(K994+J994)</f>
        <v>50000</v>
      </c>
      <c r="M994" s="995">
        <f>50000-6000</f>
        <v>44000</v>
      </c>
    </row>
    <row r="995" spans="1:13" ht="18" customHeight="1" x14ac:dyDescent="0.25">
      <c r="A995" s="986"/>
      <c r="B995" s="987"/>
      <c r="C995" s="987"/>
      <c r="D995" s="987" t="s">
        <v>436</v>
      </c>
      <c r="E995" s="987"/>
      <c r="F995" s="988"/>
      <c r="G995" s="989" t="s">
        <v>391</v>
      </c>
      <c r="H995" s="993" t="s">
        <v>713</v>
      </c>
      <c r="I995" s="994">
        <v>40000</v>
      </c>
      <c r="J995" s="995">
        <v>0</v>
      </c>
      <c r="K995" s="995">
        <f>40000-J995</f>
        <v>40000</v>
      </c>
      <c r="L995" s="995">
        <f t="shared" si="30"/>
        <v>40000</v>
      </c>
      <c r="M995" s="995">
        <v>40000</v>
      </c>
    </row>
    <row r="996" spans="1:13" ht="18" customHeight="1" x14ac:dyDescent="0.25">
      <c r="A996" s="986"/>
      <c r="B996" s="987"/>
      <c r="C996" s="987"/>
      <c r="D996" s="987" t="s">
        <v>384</v>
      </c>
      <c r="E996" s="987"/>
      <c r="F996" s="988"/>
      <c r="G996" s="989" t="s">
        <v>393</v>
      </c>
      <c r="H996" s="993" t="s">
        <v>714</v>
      </c>
      <c r="I996" s="994">
        <v>222180</v>
      </c>
      <c r="J996" s="995">
        <v>42325</v>
      </c>
      <c r="K996" s="995">
        <f>320000-J996</f>
        <v>277675</v>
      </c>
      <c r="L996" s="995">
        <f t="shared" si="30"/>
        <v>320000</v>
      </c>
      <c r="M996" s="995">
        <f>350000-20000</f>
        <v>330000</v>
      </c>
    </row>
    <row r="997" spans="1:13" ht="18" customHeight="1" x14ac:dyDescent="0.25">
      <c r="A997" s="986"/>
      <c r="B997" s="987"/>
      <c r="C997" s="987"/>
      <c r="D997" s="987" t="s">
        <v>383</v>
      </c>
      <c r="E997" s="987"/>
      <c r="F997" s="988"/>
      <c r="G997" s="989" t="s">
        <v>630</v>
      </c>
      <c r="H997" s="993" t="s">
        <v>755</v>
      </c>
      <c r="I997" s="994">
        <v>1606674.89</v>
      </c>
      <c r="J997" s="995">
        <v>611054.4</v>
      </c>
      <c r="K997" s="995">
        <f>1900000-J997</f>
        <v>1288945.6000000001</v>
      </c>
      <c r="L997" s="995">
        <f t="shared" si="30"/>
        <v>1900000</v>
      </c>
      <c r="M997" s="995">
        <v>1900000</v>
      </c>
    </row>
    <row r="998" spans="1:13" ht="18" customHeight="1" x14ac:dyDescent="0.25">
      <c r="A998" s="986"/>
      <c r="B998" s="987"/>
      <c r="C998" s="987"/>
      <c r="D998" s="987" t="s">
        <v>565</v>
      </c>
      <c r="E998" s="987"/>
      <c r="F998" s="988"/>
      <c r="G998" s="989" t="s">
        <v>394</v>
      </c>
      <c r="H998" s="993" t="s">
        <v>716</v>
      </c>
      <c r="I998" s="994">
        <v>6000</v>
      </c>
      <c r="J998" s="995">
        <v>3000</v>
      </c>
      <c r="K998" s="995">
        <f>6000-J998</f>
        <v>3000</v>
      </c>
      <c r="L998" s="995">
        <f t="shared" si="30"/>
        <v>6000</v>
      </c>
      <c r="M998" s="995">
        <f>6000+6000</f>
        <v>12000</v>
      </c>
    </row>
    <row r="999" spans="1:13" ht="18" customHeight="1" x14ac:dyDescent="0.25">
      <c r="A999" s="986"/>
      <c r="B999" s="987"/>
      <c r="C999" s="987"/>
      <c r="D999" s="987" t="s">
        <v>382</v>
      </c>
      <c r="E999" s="987"/>
      <c r="F999" s="988"/>
      <c r="G999" s="989" t="s">
        <v>631</v>
      </c>
      <c r="H999" s="993" t="s">
        <v>756</v>
      </c>
      <c r="I999" s="994">
        <v>1650000</v>
      </c>
      <c r="J999" s="995">
        <v>551600</v>
      </c>
      <c r="K999" s="995">
        <f>1150000-J999</f>
        <v>598400</v>
      </c>
      <c r="L999" s="995">
        <f t="shared" si="30"/>
        <v>1150000</v>
      </c>
      <c r="M999" s="995">
        <v>714118</v>
      </c>
    </row>
    <row r="1000" spans="1:13" ht="18" customHeight="1" x14ac:dyDescent="0.25">
      <c r="A1000" s="986"/>
      <c r="B1000" s="987"/>
      <c r="C1000" s="987"/>
      <c r="D1000" s="987" t="s">
        <v>974</v>
      </c>
      <c r="E1000" s="987"/>
      <c r="F1000" s="988"/>
      <c r="G1000" s="989"/>
      <c r="H1000" s="993" t="s">
        <v>975</v>
      </c>
      <c r="I1000" s="994">
        <v>296698.2</v>
      </c>
      <c r="J1000" s="995">
        <v>0</v>
      </c>
      <c r="K1000" s="995">
        <v>450000</v>
      </c>
      <c r="L1000" s="995">
        <f t="shared" si="30"/>
        <v>450000</v>
      </c>
      <c r="M1000" s="995">
        <v>450000</v>
      </c>
    </row>
    <row r="1001" spans="1:13" ht="18" customHeight="1" x14ac:dyDescent="0.25">
      <c r="A1001" s="986"/>
      <c r="B1001" s="987"/>
      <c r="C1001" s="987"/>
      <c r="D1001" s="987" t="s">
        <v>945</v>
      </c>
      <c r="E1001" s="987"/>
      <c r="F1001" s="988"/>
      <c r="G1001" s="989" t="s">
        <v>395</v>
      </c>
      <c r="H1001" s="993" t="s">
        <v>976</v>
      </c>
      <c r="I1001" s="994">
        <v>0</v>
      </c>
      <c r="J1001" s="995">
        <v>700</v>
      </c>
      <c r="K1001" s="995">
        <f>50000-J1001</f>
        <v>49300</v>
      </c>
      <c r="L1001" s="995">
        <f t="shared" si="30"/>
        <v>50000</v>
      </c>
      <c r="M1001" s="995">
        <v>40000</v>
      </c>
    </row>
    <row r="1002" spans="1:13" ht="18" customHeight="1" x14ac:dyDescent="0.25">
      <c r="A1002" s="986"/>
      <c r="B1002" s="987"/>
      <c r="C1002" s="987"/>
      <c r="D1002" s="987" t="s">
        <v>381</v>
      </c>
      <c r="E1002" s="987"/>
      <c r="F1002" s="988"/>
      <c r="G1002" s="989" t="s">
        <v>632</v>
      </c>
      <c r="H1002" s="993" t="s">
        <v>757</v>
      </c>
      <c r="I1002" s="994">
        <v>267095.36</v>
      </c>
      <c r="J1002" s="995">
        <v>0</v>
      </c>
      <c r="K1002" s="995">
        <f>270000-J1002</f>
        <v>270000</v>
      </c>
      <c r="L1002" s="995">
        <f t="shared" si="30"/>
        <v>270000</v>
      </c>
      <c r="M1002" s="995">
        <v>270000</v>
      </c>
    </row>
    <row r="1003" spans="1:13" ht="18" customHeight="1" x14ac:dyDescent="0.25">
      <c r="A1003" s="986"/>
      <c r="B1003" s="987"/>
      <c r="C1003" s="987"/>
      <c r="D1003" s="987" t="s">
        <v>572</v>
      </c>
      <c r="E1003" s="987"/>
      <c r="F1003" s="988"/>
      <c r="G1003" s="989" t="s">
        <v>396</v>
      </c>
      <c r="H1003" s="993" t="s">
        <v>718</v>
      </c>
      <c r="I1003" s="994">
        <v>575000</v>
      </c>
      <c r="J1003" s="995">
        <v>0</v>
      </c>
      <c r="K1003" s="995">
        <v>0</v>
      </c>
      <c r="L1003" s="995">
        <f t="shared" si="30"/>
        <v>0</v>
      </c>
      <c r="M1003" s="995">
        <v>0</v>
      </c>
    </row>
    <row r="1004" spans="1:13" ht="18" customHeight="1" x14ac:dyDescent="0.25">
      <c r="A1004" s="998"/>
      <c r="B1004" s="999"/>
      <c r="C1004" s="999"/>
      <c r="D1004" s="999" t="s">
        <v>763</v>
      </c>
      <c r="E1004" s="999"/>
      <c r="F1004" s="1000"/>
      <c r="G1004" s="1001"/>
      <c r="H1004" s="1034"/>
      <c r="I1004" s="1002">
        <f>SUM(I994:I1003)</f>
        <v>4699994.4700000007</v>
      </c>
      <c r="J1004" s="1002">
        <f>SUM(J994:J1003)</f>
        <v>1208679.3999999999</v>
      </c>
      <c r="K1004" s="1002">
        <f>SUM(K994:K1003)</f>
        <v>3027320.6</v>
      </c>
      <c r="L1004" s="1002">
        <f>SUM(L994:L1003)</f>
        <v>4236000</v>
      </c>
      <c r="M1004" s="1002">
        <f>SUM(M994:M1003)</f>
        <v>3800118</v>
      </c>
    </row>
    <row r="1005" spans="1:13" ht="18" customHeight="1" x14ac:dyDescent="0.25">
      <c r="A1005" s="986"/>
      <c r="B1005" s="987" t="s">
        <v>573</v>
      </c>
      <c r="C1005" s="987"/>
      <c r="D1005" s="987"/>
      <c r="E1005" s="987"/>
      <c r="F1005" s="988"/>
      <c r="G1005" s="989"/>
      <c r="H1005" s="1031"/>
      <c r="I1005" s="994"/>
      <c r="J1005" s="995"/>
      <c r="K1005" s="995"/>
      <c r="L1005" s="995"/>
      <c r="M1005" s="995"/>
    </row>
    <row r="1006" spans="1:13" ht="18" customHeight="1" x14ac:dyDescent="0.25">
      <c r="A1006" s="986"/>
      <c r="B1006" s="987"/>
      <c r="C1006" s="987"/>
      <c r="D1006" s="987" t="s">
        <v>697</v>
      </c>
      <c r="E1006" s="987"/>
      <c r="F1006" s="988"/>
      <c r="G1006" s="989" t="s">
        <v>859</v>
      </c>
      <c r="H1006" s="1031" t="s">
        <v>860</v>
      </c>
      <c r="I1006" s="994">
        <v>99990</v>
      </c>
      <c r="J1006" s="995">
        <v>0</v>
      </c>
      <c r="K1006" s="995">
        <f>117500-J1006</f>
        <v>117500</v>
      </c>
      <c r="L1006" s="995">
        <f>SUM(K1006+J1006)</f>
        <v>117500</v>
      </c>
      <c r="M1006" s="995">
        <v>0</v>
      </c>
    </row>
    <row r="1007" spans="1:13" ht="18" customHeight="1" x14ac:dyDescent="0.25">
      <c r="A1007" s="986"/>
      <c r="B1007" s="987"/>
      <c r="C1007" s="987"/>
      <c r="D1007" s="987" t="s">
        <v>868</v>
      </c>
      <c r="E1007" s="987"/>
      <c r="F1007" s="988"/>
      <c r="G1007" s="989" t="s">
        <v>932</v>
      </c>
      <c r="H1007" s="993" t="s">
        <v>869</v>
      </c>
      <c r="I1007" s="994">
        <v>0</v>
      </c>
      <c r="J1007" s="995">
        <v>0</v>
      </c>
      <c r="K1007" s="995">
        <v>0</v>
      </c>
      <c r="L1007" s="995">
        <f>SUM(K1007+J1007)</f>
        <v>0</v>
      </c>
      <c r="M1007" s="995">
        <f>20000</f>
        <v>20000</v>
      </c>
    </row>
    <row r="1008" spans="1:13" ht="18" customHeight="1" x14ac:dyDescent="0.25">
      <c r="A1008" s="986"/>
      <c r="B1008" s="987"/>
      <c r="C1008" s="987"/>
      <c r="D1008" s="987" t="s">
        <v>1645</v>
      </c>
      <c r="E1008" s="987"/>
      <c r="F1008" s="988"/>
      <c r="G1008" s="989"/>
      <c r="H1008" s="993" t="s">
        <v>980</v>
      </c>
      <c r="I1008" s="994">
        <v>0</v>
      </c>
      <c r="J1008" s="995">
        <v>0</v>
      </c>
      <c r="K1008" s="995">
        <v>0</v>
      </c>
      <c r="L1008" s="995">
        <f>SUM(K1008+J1008)</f>
        <v>0</v>
      </c>
      <c r="M1008" s="995">
        <v>15000</v>
      </c>
    </row>
    <row r="1009" spans="1:13" ht="18" customHeight="1" x14ac:dyDescent="0.25">
      <c r="A1009" s="986"/>
      <c r="B1009" s="987"/>
      <c r="C1009" s="987"/>
      <c r="D1009" s="987" t="s">
        <v>1644</v>
      </c>
      <c r="E1009" s="987"/>
      <c r="F1009" s="988"/>
      <c r="G1009" s="989"/>
      <c r="H1009" s="993" t="s">
        <v>870</v>
      </c>
      <c r="I1009" s="994">
        <v>0</v>
      </c>
      <c r="J1009" s="995">
        <v>0</v>
      </c>
      <c r="K1009" s="995">
        <v>0</v>
      </c>
      <c r="L1009" s="995">
        <f>SUM(K1009+J1009)</f>
        <v>0</v>
      </c>
      <c r="M1009" s="995">
        <v>90000</v>
      </c>
    </row>
    <row r="1010" spans="1:13" ht="18" customHeight="1" x14ac:dyDescent="0.25">
      <c r="A1010" s="986"/>
      <c r="B1010" s="987"/>
      <c r="C1010" s="987"/>
      <c r="D1010" s="987" t="s">
        <v>1646</v>
      </c>
      <c r="E1010" s="987"/>
      <c r="F1010" s="988"/>
      <c r="G1010" s="989"/>
      <c r="H1010" s="993" t="s">
        <v>1647</v>
      </c>
      <c r="I1010" s="994">
        <v>0</v>
      </c>
      <c r="J1010" s="995">
        <v>0</v>
      </c>
      <c r="K1010" s="995">
        <v>0</v>
      </c>
      <c r="L1010" s="995">
        <f>SUM(K1010+J1010)</f>
        <v>0</v>
      </c>
      <c r="M1010" s="995">
        <v>15000</v>
      </c>
    </row>
    <row r="1011" spans="1:13" s="1003" customFormat="1" ht="18" customHeight="1" x14ac:dyDescent="0.25">
      <c r="A1011" s="998"/>
      <c r="B1011" s="999"/>
      <c r="C1011" s="999"/>
      <c r="D1011" s="999" t="s">
        <v>808</v>
      </c>
      <c r="E1011" s="999"/>
      <c r="F1011" s="1000"/>
      <c r="G1011" s="1001"/>
      <c r="H1011" s="1034"/>
      <c r="I1011" s="1002">
        <f>SUM(I1006:I1010)</f>
        <v>99990</v>
      </c>
      <c r="J1011" s="1002">
        <f>SUM(J1006:J1010)</f>
        <v>0</v>
      </c>
      <c r="K1011" s="1002">
        <f>SUM(K1006:K1010)</f>
        <v>117500</v>
      </c>
      <c r="L1011" s="1002">
        <f>SUM(L1006:L1010)</f>
        <v>117500</v>
      </c>
      <c r="M1011" s="1002">
        <f>SUM(M1006:M1010)</f>
        <v>140000</v>
      </c>
    </row>
    <row r="1012" spans="1:13" s="1052" customFormat="1" ht="18" hidden="1" customHeight="1" x14ac:dyDescent="0.25">
      <c r="A1012" s="1044"/>
      <c r="B1012" s="1045" t="s">
        <v>277</v>
      </c>
      <c r="C1012" s="1046"/>
      <c r="D1012" s="1046"/>
      <c r="E1012" s="1046"/>
      <c r="F1012" s="1047"/>
      <c r="G1012" s="1048"/>
      <c r="H1012" s="1049"/>
      <c r="I1012" s="1050"/>
      <c r="J1012" s="1051"/>
      <c r="K1012" s="1051"/>
      <c r="L1012" s="1051"/>
      <c r="M1012" s="1051"/>
    </row>
    <row r="1013" spans="1:13" s="1061" customFormat="1" ht="18" hidden="1" customHeight="1" x14ac:dyDescent="0.25">
      <c r="A1013" s="1053"/>
      <c r="B1013" s="1054"/>
      <c r="C1013" s="1054"/>
      <c r="D1013" s="1046" t="s">
        <v>956</v>
      </c>
      <c r="E1013" s="1054"/>
      <c r="F1013" s="1055"/>
      <c r="G1013" s="1056"/>
      <c r="H1013" s="1057"/>
      <c r="I1013" s="1058">
        <v>0</v>
      </c>
      <c r="J1013" s="1059"/>
      <c r="K1013" s="1060">
        <f>-J1013</f>
        <v>0</v>
      </c>
      <c r="L1013" s="1060">
        <f>SUM(K1013+J1013)</f>
        <v>0</v>
      </c>
      <c r="M1013" s="1059">
        <v>0</v>
      </c>
    </row>
    <row r="1014" spans="1:13" ht="18" customHeight="1" x14ac:dyDescent="0.25">
      <c r="A1014" s="1006" t="s">
        <v>635</v>
      </c>
      <c r="B1014" s="1007"/>
      <c r="C1014" s="1007"/>
      <c r="D1014" s="1007"/>
      <c r="E1014" s="1007"/>
      <c r="F1014" s="1008"/>
      <c r="G1014" s="1009"/>
      <c r="H1014" s="1035"/>
      <c r="I1014" s="1011">
        <f>SUM(I1011+I1004+I992+I1013)</f>
        <v>12149201.470000001</v>
      </c>
      <c r="J1014" s="1011">
        <f>SUM(J1011+J1004+J992+J1013)</f>
        <v>5352438.5600000005</v>
      </c>
      <c r="K1014" s="1011">
        <f>SUM(K1011+K1004+K992+K1013)</f>
        <v>7381938.1799999997</v>
      </c>
      <c r="L1014" s="1011">
        <f>SUM(L1011+L1004+L992+L1013)</f>
        <v>12734376.74</v>
      </c>
      <c r="M1014" s="1011">
        <f>SUM(M1011+M1004+M992+M1013)</f>
        <v>12089057</v>
      </c>
    </row>
    <row r="1015" spans="1:13" ht="18" customHeight="1" x14ac:dyDescent="0.25">
      <c r="A1015" s="973"/>
      <c r="B1015" s="1012"/>
      <c r="C1015" s="973"/>
      <c r="D1015" s="973"/>
      <c r="E1015" s="973"/>
      <c r="F1015" s="973"/>
      <c r="G1015" s="973"/>
      <c r="H1015" s="1013"/>
      <c r="I1015" s="1013"/>
      <c r="J1015" s="1014"/>
      <c r="K1015" s="1014"/>
      <c r="L1015" s="1014"/>
      <c r="M1015" s="1014"/>
    </row>
    <row r="1016" spans="1:13" ht="18" customHeight="1" x14ac:dyDescent="0.25">
      <c r="A1016" s="973"/>
      <c r="B1016" s="1012"/>
      <c r="C1016" s="973"/>
      <c r="D1016" s="973"/>
      <c r="E1016" s="973"/>
      <c r="F1016" s="973"/>
      <c r="G1016" s="973"/>
      <c r="H1016" s="1013"/>
      <c r="I1016" s="1013"/>
      <c r="J1016" s="1014"/>
      <c r="K1016" s="1014"/>
      <c r="L1016" s="1014"/>
      <c r="M1016" s="1014"/>
    </row>
    <row r="1017" spans="1:13" ht="18" customHeight="1" x14ac:dyDescent="0.25">
      <c r="A1017" s="973"/>
      <c r="B1017" s="1012"/>
      <c r="C1017" s="973"/>
      <c r="D1017" s="973"/>
      <c r="E1017" s="973"/>
      <c r="F1017" s="973"/>
      <c r="G1017" s="973"/>
      <c r="H1017" s="1013"/>
      <c r="I1017" s="1013"/>
      <c r="J1017" s="1014"/>
      <c r="K1017" s="1014"/>
      <c r="L1017" s="1014"/>
      <c r="M1017" s="1014"/>
    </row>
    <row r="1018" spans="1:13" s="956" customFormat="1" ht="18" customHeight="1" x14ac:dyDescent="0.25">
      <c r="A1018" s="953" t="s">
        <v>636</v>
      </c>
      <c r="B1018" s="953"/>
      <c r="C1018" s="954"/>
      <c r="D1018" s="954"/>
      <c r="E1018" s="954"/>
      <c r="F1018" s="954"/>
      <c r="G1018" s="954"/>
      <c r="H1018" s="1017"/>
      <c r="I1018" s="1017" t="s">
        <v>637</v>
      </c>
      <c r="J1018" s="1014"/>
      <c r="K1018" s="1018"/>
      <c r="L1018" s="1018" t="s">
        <v>264</v>
      </c>
      <c r="M1018" s="1014"/>
    </row>
    <row r="1019" spans="1:13" s="956" customFormat="1" ht="18" customHeight="1" x14ac:dyDescent="0.25">
      <c r="A1019" s="954"/>
      <c r="B1019" s="953"/>
      <c r="C1019" s="954"/>
      <c r="F1019" s="953"/>
      <c r="G1019" s="1103"/>
      <c r="H1019" s="1103"/>
      <c r="I1019" s="1099"/>
      <c r="J1019" s="1099"/>
      <c r="K1019" s="1014"/>
      <c r="L1019" s="1019"/>
      <c r="M1019" s="1014"/>
    </row>
    <row r="1020" spans="1:13" s="956" customFormat="1" ht="18" customHeight="1" x14ac:dyDescent="0.25">
      <c r="A1020" s="953"/>
      <c r="B1020" s="953"/>
      <c r="C1020" s="953"/>
      <c r="D1020" s="1020"/>
      <c r="E1020" s="1020"/>
      <c r="F1020" s="1021" t="s">
        <v>1495</v>
      </c>
      <c r="G1020" s="1022"/>
      <c r="H1020" s="1023"/>
      <c r="I1020" s="1100" t="s">
        <v>17</v>
      </c>
      <c r="J1020" s="1100"/>
      <c r="K1020" s="1023"/>
      <c r="L1020" s="1100" t="s">
        <v>1495</v>
      </c>
      <c r="M1020" s="1100"/>
    </row>
    <row r="1021" spans="1:13" s="956" customFormat="1" ht="18" customHeight="1" x14ac:dyDescent="0.25">
      <c r="A1021" s="954"/>
      <c r="B1021" s="953"/>
      <c r="C1021" s="954"/>
      <c r="D1021" s="954"/>
      <c r="E1021" s="954"/>
      <c r="F1021" s="1024" t="s">
        <v>1496</v>
      </c>
      <c r="G1021" s="1025"/>
      <c r="H1021" s="1025"/>
      <c r="I1021" s="1101" t="s">
        <v>18</v>
      </c>
      <c r="J1021" s="1101"/>
      <c r="K1021" s="1026"/>
      <c r="L1021" s="1102" t="s">
        <v>14</v>
      </c>
      <c r="M1021" s="1102"/>
    </row>
    <row r="1022" spans="1:13" s="956" customFormat="1" ht="18" customHeight="1" x14ac:dyDescent="0.25">
      <c r="A1022" s="954"/>
      <c r="B1022" s="953"/>
      <c r="C1022" s="954"/>
      <c r="D1022" s="954"/>
      <c r="E1022" s="954"/>
      <c r="F1022" s="1024"/>
      <c r="G1022" s="1025"/>
      <c r="H1022" s="1013"/>
      <c r="I1022" s="1013"/>
      <c r="K1022" s="1027"/>
      <c r="L1022" s="1027"/>
      <c r="M1022" s="1014"/>
    </row>
    <row r="1023" spans="1:13" s="956" customFormat="1" ht="18" customHeight="1" x14ac:dyDescent="0.25">
      <c r="A1023" s="954"/>
      <c r="B1023" s="953"/>
      <c r="C1023" s="954"/>
      <c r="D1023" s="954"/>
      <c r="E1023" s="954"/>
      <c r="F1023" s="1024"/>
      <c r="G1023" s="1025"/>
      <c r="H1023" s="1013"/>
      <c r="I1023" s="1013"/>
      <c r="K1023" s="1027"/>
      <c r="L1023" s="1027"/>
      <c r="M1023" s="1014"/>
    </row>
    <row r="1024" spans="1:13" s="956" customFormat="1" ht="18" customHeight="1" x14ac:dyDescent="0.25">
      <c r="A1024" s="954"/>
      <c r="B1024" s="953"/>
      <c r="C1024" s="954"/>
      <c r="D1024" s="954"/>
      <c r="E1024" s="954"/>
      <c r="F1024" s="1024"/>
      <c r="G1024" s="1025"/>
      <c r="H1024" s="1013"/>
      <c r="I1024" s="1013"/>
      <c r="K1024" s="1027"/>
      <c r="L1024" s="1027"/>
      <c r="M1024" s="1014"/>
    </row>
    <row r="1025" spans="1:13" s="956" customFormat="1" ht="18" customHeight="1" x14ac:dyDescent="0.25">
      <c r="A1025" s="954"/>
      <c r="B1025" s="953"/>
      <c r="C1025" s="954"/>
      <c r="D1025" s="954"/>
      <c r="E1025" s="954"/>
      <c r="F1025" s="1024"/>
      <c r="G1025" s="1025"/>
      <c r="H1025" s="1013"/>
      <c r="I1025" s="1013"/>
      <c r="K1025" s="1027"/>
      <c r="L1025" s="1027"/>
      <c r="M1025" s="1014"/>
    </row>
    <row r="1026" spans="1:13" s="956" customFormat="1" ht="18" customHeight="1" x14ac:dyDescent="0.25">
      <c r="A1026" s="954"/>
      <c r="B1026" s="953"/>
      <c r="C1026" s="954"/>
      <c r="D1026" s="954"/>
      <c r="E1026" s="954"/>
      <c r="F1026" s="1024"/>
      <c r="G1026" s="1025"/>
      <c r="H1026" s="1013"/>
      <c r="I1026" s="1013"/>
      <c r="K1026" s="1027"/>
      <c r="L1026" s="1027"/>
      <c r="M1026" s="1014"/>
    </row>
    <row r="1027" spans="1:13" s="956" customFormat="1" ht="18" customHeight="1" x14ac:dyDescent="0.25">
      <c r="A1027" s="954"/>
      <c r="B1027" s="953"/>
      <c r="C1027" s="954"/>
      <c r="D1027" s="954"/>
      <c r="E1027" s="954"/>
      <c r="F1027" s="1024"/>
      <c r="G1027" s="1025"/>
      <c r="H1027" s="1013"/>
      <c r="I1027" s="1013"/>
      <c r="K1027" s="1027"/>
      <c r="L1027" s="1027"/>
      <c r="M1027" s="1014"/>
    </row>
    <row r="1028" spans="1:13" s="1041" customFormat="1" ht="20.100000000000001" customHeight="1" x14ac:dyDescent="0.35">
      <c r="A1028" s="1095" t="s">
        <v>999</v>
      </c>
      <c r="B1028" s="1095"/>
      <c r="C1028" s="1095"/>
      <c r="D1028" s="1095"/>
      <c r="E1028" s="1095"/>
      <c r="F1028" s="1095"/>
      <c r="G1028" s="1095"/>
      <c r="H1028" s="1095"/>
      <c r="I1028" s="1095"/>
      <c r="J1028" s="1095"/>
      <c r="K1028" s="1095"/>
      <c r="L1028" s="1095"/>
      <c r="M1028" s="1095"/>
    </row>
    <row r="1029" spans="1:13" ht="18" customHeight="1" x14ac:dyDescent="0.2"/>
    <row r="1030" spans="1:13" s="1062" customFormat="1" ht="18" hidden="1" customHeight="1" x14ac:dyDescent="0.2">
      <c r="I1030" s="1063">
        <f>SUM(I1014+I933+I867+I807+I737+I670+I599+I530+I465+I393+I324+I254+I186+I128+I56)</f>
        <v>89733557.060000002</v>
      </c>
      <c r="J1030" s="1063">
        <f>SUM(J1014+J933+J867+J807+J737+J670+J599+J530+J465+J393+J324+J254+J186+J128+J56)</f>
        <v>43848155.640000001</v>
      </c>
      <c r="K1030" s="1063">
        <f>SUM(K1014+K933+K867+K807+K737+K670+K599+K530+K465+K393+K324+K254+K186+K128+K56)</f>
        <v>66959391.360000007</v>
      </c>
      <c r="L1030" s="1063">
        <f>SUM(L1014+L933+L867+L807+L737+L670+L599+L530+L465+L393+L324+L254+L186+L128+L56)</f>
        <v>110807547.00000001</v>
      </c>
      <c r="M1030" s="1063">
        <f>SUM(M1014+M933+M867+M807+M737+M670+M599+M530+M465+M393+M324+M254+M186+M128+M56)</f>
        <v>101861448</v>
      </c>
    </row>
    <row r="1031" spans="1:13" ht="18" customHeight="1" x14ac:dyDescent="0.2"/>
    <row r="1032" spans="1:13" ht="18" customHeight="1" x14ac:dyDescent="0.2"/>
    <row r="1033" spans="1:13" ht="18" customHeight="1" x14ac:dyDescent="0.2"/>
    <row r="1034" spans="1:13" ht="18" customHeight="1" x14ac:dyDescent="0.2"/>
    <row r="1035" spans="1:13" ht="18" customHeight="1" x14ac:dyDescent="0.2"/>
    <row r="1036" spans="1:13" ht="18" customHeight="1" x14ac:dyDescent="0.2"/>
    <row r="1037" spans="1:13" ht="18" customHeight="1" x14ac:dyDescent="0.2"/>
    <row r="1038" spans="1:13" ht="18" customHeight="1" x14ac:dyDescent="0.2"/>
    <row r="1039" spans="1:13" ht="18" customHeight="1" x14ac:dyDescent="0.2"/>
    <row r="1040" spans="1:13" ht="18" customHeight="1" x14ac:dyDescent="0.2"/>
    <row r="1041" ht="18" customHeight="1" x14ac:dyDescent="0.2"/>
    <row r="1042" ht="18" customHeight="1" x14ac:dyDescent="0.2"/>
    <row r="1043" ht="18" customHeight="1" x14ac:dyDescent="0.2"/>
    <row r="1044" ht="18" customHeight="1" x14ac:dyDescent="0.2"/>
    <row r="1045" ht="18" customHeight="1" x14ac:dyDescent="0.2"/>
    <row r="1046" ht="18" customHeight="1" x14ac:dyDescent="0.2"/>
    <row r="1047" ht="18" customHeight="1" x14ac:dyDescent="0.2"/>
    <row r="1048" ht="18" customHeight="1" x14ac:dyDescent="0.2"/>
    <row r="1049" ht="18" customHeight="1" x14ac:dyDescent="0.2"/>
    <row r="1050" ht="18" customHeight="1" x14ac:dyDescent="0.2"/>
    <row r="1051" ht="18" customHeight="1" x14ac:dyDescent="0.2"/>
    <row r="1052" ht="18" customHeight="1" x14ac:dyDescent="0.2"/>
    <row r="1053" ht="18" customHeight="1" x14ac:dyDescent="0.2"/>
    <row r="1054" ht="18" customHeight="1" x14ac:dyDescent="0.2"/>
    <row r="1055" ht="18" customHeight="1" x14ac:dyDescent="0.2"/>
    <row r="1056" ht="18" customHeight="1" x14ac:dyDescent="0.2"/>
    <row r="1057" ht="18" customHeight="1" x14ac:dyDescent="0.2"/>
    <row r="1058" ht="18" customHeight="1" x14ac:dyDescent="0.2"/>
    <row r="1059" ht="18" customHeight="1" x14ac:dyDescent="0.2"/>
    <row r="1060" ht="18" customHeight="1" x14ac:dyDescent="0.2"/>
    <row r="1061" ht="18" customHeight="1" x14ac:dyDescent="0.2"/>
    <row r="1062" ht="18" customHeight="1" x14ac:dyDescent="0.2"/>
    <row r="1063" ht="18" customHeight="1" x14ac:dyDescent="0.2"/>
    <row r="1064" ht="18" customHeight="1" x14ac:dyDescent="0.2"/>
    <row r="1065" ht="18" customHeight="1" x14ac:dyDescent="0.2"/>
    <row r="1066" ht="18" customHeight="1" x14ac:dyDescent="0.2"/>
    <row r="1067" ht="18" customHeight="1" x14ac:dyDescent="0.2"/>
    <row r="1068" ht="18" customHeight="1" x14ac:dyDescent="0.2"/>
    <row r="1069" ht="18" customHeight="1" x14ac:dyDescent="0.2"/>
    <row r="1070" ht="18" customHeight="1" x14ac:dyDescent="0.2"/>
    <row r="1071" ht="18" customHeight="1" x14ac:dyDescent="0.2"/>
    <row r="1072" ht="18" customHeight="1" x14ac:dyDescent="0.2"/>
    <row r="1073" ht="18" customHeight="1" x14ac:dyDescent="0.2"/>
    <row r="1074" ht="18" customHeight="1" x14ac:dyDescent="0.2"/>
    <row r="1075" ht="18" customHeight="1" x14ac:dyDescent="0.2"/>
    <row r="1076" ht="18" customHeight="1" x14ac:dyDescent="0.2"/>
    <row r="1077" ht="18" customHeight="1" x14ac:dyDescent="0.2"/>
    <row r="1078" ht="18" customHeight="1" x14ac:dyDescent="0.2"/>
    <row r="1079" ht="18" customHeight="1" x14ac:dyDescent="0.2"/>
    <row r="1080" ht="18" customHeight="1" x14ac:dyDescent="0.2"/>
    <row r="1081" ht="18" customHeight="1" x14ac:dyDescent="0.2"/>
    <row r="1082" ht="18" customHeight="1" x14ac:dyDescent="0.2"/>
    <row r="1083" ht="18" customHeight="1" x14ac:dyDescent="0.2"/>
    <row r="1084" ht="18" customHeight="1" x14ac:dyDescent="0.2"/>
    <row r="1085" ht="18" customHeight="1" x14ac:dyDescent="0.2"/>
    <row r="1086" ht="18" customHeight="1" x14ac:dyDescent="0.2"/>
    <row r="1087" ht="18" customHeight="1" x14ac:dyDescent="0.2"/>
    <row r="1088" ht="18" customHeight="1" x14ac:dyDescent="0.2"/>
    <row r="1089" ht="18" customHeight="1" x14ac:dyDescent="0.2"/>
    <row r="1090" ht="18" customHeight="1" x14ac:dyDescent="0.2"/>
    <row r="1091" ht="18" customHeight="1" x14ac:dyDescent="0.2"/>
    <row r="1092" ht="18" customHeight="1" x14ac:dyDescent="0.2"/>
    <row r="1093" ht="18" customHeight="1" x14ac:dyDescent="0.2"/>
    <row r="1094" ht="18" customHeight="1" x14ac:dyDescent="0.2"/>
    <row r="1095" ht="18" customHeight="1" x14ac:dyDescent="0.2"/>
    <row r="1096" ht="18" customHeight="1" x14ac:dyDescent="0.2"/>
    <row r="1097" ht="18" customHeight="1" x14ac:dyDescent="0.2"/>
    <row r="1098" ht="18" customHeight="1" x14ac:dyDescent="0.2"/>
    <row r="1099" ht="18" customHeight="1" x14ac:dyDescent="0.2"/>
    <row r="1100" ht="18" customHeight="1" x14ac:dyDescent="0.2"/>
    <row r="1101" ht="18" customHeight="1" x14ac:dyDescent="0.2"/>
    <row r="1102" ht="18" customHeight="1" x14ac:dyDescent="0.2"/>
    <row r="1103" ht="18" customHeight="1" x14ac:dyDescent="0.2"/>
    <row r="1104" ht="18" customHeight="1" x14ac:dyDescent="0.2"/>
    <row r="1105" ht="18" customHeight="1" x14ac:dyDescent="0.2"/>
    <row r="1106" ht="18" customHeight="1" x14ac:dyDescent="0.2"/>
    <row r="1107" ht="18" customHeight="1" x14ac:dyDescent="0.2"/>
    <row r="1108" ht="18" customHeight="1" x14ac:dyDescent="0.2"/>
    <row r="1109" ht="18" customHeight="1" x14ac:dyDescent="0.2"/>
    <row r="1110" ht="18" customHeight="1" x14ac:dyDescent="0.2"/>
    <row r="1111" ht="18" customHeight="1" x14ac:dyDescent="0.2"/>
    <row r="1112" ht="18" customHeight="1" x14ac:dyDescent="0.2"/>
    <row r="1113" ht="18" customHeight="1" x14ac:dyDescent="0.2"/>
    <row r="1114" ht="18" customHeight="1" x14ac:dyDescent="0.2"/>
    <row r="1115" ht="18" customHeight="1" x14ac:dyDescent="0.2"/>
    <row r="1116" ht="18" customHeight="1" x14ac:dyDescent="0.2"/>
    <row r="1117" ht="18" customHeight="1" x14ac:dyDescent="0.2"/>
    <row r="1118" ht="18" customHeight="1" x14ac:dyDescent="0.2"/>
    <row r="1119" ht="18" customHeight="1" x14ac:dyDescent="0.2"/>
    <row r="1120" ht="18" customHeight="1" x14ac:dyDescent="0.2"/>
    <row r="1121" ht="18" customHeight="1" x14ac:dyDescent="0.2"/>
    <row r="1122" ht="18" customHeight="1" x14ac:dyDescent="0.2"/>
    <row r="1123" ht="18" customHeight="1" x14ac:dyDescent="0.2"/>
    <row r="1124" ht="18" customHeight="1" x14ac:dyDescent="0.2"/>
    <row r="1125" ht="18" customHeight="1" x14ac:dyDescent="0.2"/>
    <row r="1126" ht="18" customHeight="1" x14ac:dyDescent="0.2"/>
    <row r="1127" ht="18" customHeight="1" x14ac:dyDescent="0.2"/>
    <row r="1128" ht="18" customHeight="1" x14ac:dyDescent="0.2"/>
    <row r="1129" ht="18" customHeight="1" x14ac:dyDescent="0.2"/>
    <row r="1130" ht="18" customHeight="1" x14ac:dyDescent="0.2"/>
    <row r="1131" ht="18" customHeight="1" x14ac:dyDescent="0.2"/>
    <row r="1132" ht="18" customHeight="1" x14ac:dyDescent="0.2"/>
    <row r="1133" ht="18" customHeight="1" x14ac:dyDescent="0.2"/>
    <row r="1134" ht="18" customHeight="1" x14ac:dyDescent="0.2"/>
    <row r="1135" ht="18" customHeight="1" x14ac:dyDescent="0.2"/>
    <row r="1136" ht="18" customHeight="1" x14ac:dyDescent="0.2"/>
    <row r="1137" ht="18" customHeight="1" x14ac:dyDescent="0.2"/>
    <row r="1138" ht="18" customHeight="1" x14ac:dyDescent="0.2"/>
    <row r="1139" ht="18" customHeight="1" x14ac:dyDescent="0.2"/>
    <row r="1140" ht="18" customHeight="1" x14ac:dyDescent="0.2"/>
    <row r="1141" ht="18" customHeight="1" x14ac:dyDescent="0.2"/>
    <row r="1142" ht="18" customHeight="1" x14ac:dyDescent="0.2"/>
    <row r="1143" ht="18" customHeight="1" x14ac:dyDescent="0.2"/>
    <row r="1144" ht="18" customHeight="1" x14ac:dyDescent="0.2"/>
    <row r="1145" ht="18" customHeight="1" x14ac:dyDescent="0.2"/>
    <row r="1146" ht="18" customHeight="1" x14ac:dyDescent="0.2"/>
    <row r="1147" ht="18" customHeight="1" x14ac:dyDescent="0.2"/>
    <row r="1148" ht="18" customHeight="1" x14ac:dyDescent="0.2"/>
    <row r="1149" ht="18" customHeight="1" x14ac:dyDescent="0.2"/>
    <row r="1150" ht="18" customHeight="1" x14ac:dyDescent="0.2"/>
    <row r="1151" ht="18" customHeight="1" x14ac:dyDescent="0.2"/>
    <row r="1152" ht="18" customHeight="1" x14ac:dyDescent="0.2"/>
    <row r="1153" ht="18" customHeight="1" x14ac:dyDescent="0.2"/>
    <row r="1154" ht="18" customHeight="1" x14ac:dyDescent="0.2"/>
    <row r="1155" ht="18" customHeight="1" x14ac:dyDescent="0.2"/>
    <row r="1156" ht="18" customHeight="1" x14ac:dyDescent="0.2"/>
    <row r="1157" ht="18" customHeight="1" x14ac:dyDescent="0.2"/>
    <row r="1158" ht="18" customHeight="1" x14ac:dyDescent="0.2"/>
    <row r="1159" ht="18" customHeight="1" x14ac:dyDescent="0.2"/>
    <row r="1160" ht="18" customHeight="1" x14ac:dyDescent="0.2"/>
    <row r="1161" ht="18" customHeight="1" x14ac:dyDescent="0.2"/>
    <row r="1162" ht="18" customHeight="1" x14ac:dyDescent="0.2"/>
    <row r="1163" ht="18" customHeight="1" x14ac:dyDescent="0.2"/>
    <row r="1164" ht="18" customHeight="1" x14ac:dyDescent="0.2"/>
    <row r="1165" ht="18" customHeight="1" x14ac:dyDescent="0.2"/>
    <row r="1166" ht="18" customHeight="1" x14ac:dyDescent="0.2"/>
    <row r="1167" ht="18" customHeight="1" x14ac:dyDescent="0.2"/>
    <row r="1168" ht="18" customHeight="1" x14ac:dyDescent="0.2"/>
    <row r="1169" ht="18" customHeight="1" x14ac:dyDescent="0.2"/>
    <row r="1170" ht="18" customHeight="1" x14ac:dyDescent="0.2"/>
    <row r="1171" ht="18" customHeight="1" x14ac:dyDescent="0.2"/>
    <row r="1172" ht="18" customHeight="1" x14ac:dyDescent="0.2"/>
    <row r="1173" ht="18" customHeight="1" x14ac:dyDescent="0.2"/>
    <row r="1174" ht="18" customHeight="1" x14ac:dyDescent="0.2"/>
    <row r="1175" ht="18" customHeight="1" x14ac:dyDescent="0.2"/>
    <row r="1176" ht="18" customHeight="1" x14ac:dyDescent="0.2"/>
    <row r="1177" ht="18" customHeight="1" x14ac:dyDescent="0.2"/>
    <row r="1178" ht="18" customHeight="1" x14ac:dyDescent="0.2"/>
    <row r="1179" ht="18" customHeight="1" x14ac:dyDescent="0.2"/>
    <row r="1180" ht="18" customHeight="1" x14ac:dyDescent="0.2"/>
    <row r="1181" ht="18" customHeight="1" x14ac:dyDescent="0.2"/>
    <row r="1182" ht="18" customHeight="1" x14ac:dyDescent="0.2"/>
    <row r="1183" ht="18" customHeight="1" x14ac:dyDescent="0.2"/>
    <row r="1184" ht="18" customHeight="1" x14ac:dyDescent="0.2"/>
    <row r="1185" ht="18" customHeight="1" x14ac:dyDescent="0.2"/>
    <row r="1186" ht="18" customHeight="1" x14ac:dyDescent="0.2"/>
    <row r="1187" ht="18" customHeight="1" x14ac:dyDescent="0.2"/>
    <row r="1188" ht="18" customHeight="1" x14ac:dyDescent="0.2"/>
    <row r="1189" ht="18" customHeight="1" x14ac:dyDescent="0.2"/>
    <row r="1190" ht="18" customHeight="1" x14ac:dyDescent="0.2"/>
    <row r="1191" ht="18" customHeight="1" x14ac:dyDescent="0.2"/>
    <row r="1192" ht="18" customHeight="1" x14ac:dyDescent="0.2"/>
    <row r="1193" ht="18" customHeight="1" x14ac:dyDescent="0.2"/>
    <row r="1194" ht="18" customHeight="1" x14ac:dyDescent="0.2"/>
    <row r="1195" ht="18" customHeight="1" x14ac:dyDescent="0.2"/>
    <row r="1196" ht="18" customHeight="1" x14ac:dyDescent="0.2"/>
    <row r="1197" ht="18" customHeight="1" x14ac:dyDescent="0.2"/>
    <row r="1198" ht="18" customHeight="1" x14ac:dyDescent="0.2"/>
    <row r="1199" ht="18" customHeight="1" x14ac:dyDescent="0.2"/>
    <row r="1200" ht="18" customHeight="1" x14ac:dyDescent="0.2"/>
    <row r="1201" ht="18" customHeight="1" x14ac:dyDescent="0.2"/>
    <row r="1202" ht="18" customHeight="1" x14ac:dyDescent="0.2"/>
    <row r="1203" ht="18" customHeight="1" x14ac:dyDescent="0.2"/>
    <row r="1204" ht="18" customHeight="1" x14ac:dyDescent="0.2"/>
    <row r="1205" ht="18" customHeight="1" x14ac:dyDescent="0.2"/>
    <row r="1206" ht="18" customHeight="1" x14ac:dyDescent="0.2"/>
    <row r="1207" ht="18" customHeight="1" x14ac:dyDescent="0.2"/>
    <row r="1208" ht="18" customHeight="1" x14ac:dyDescent="0.2"/>
    <row r="1209" ht="18" customHeight="1" x14ac:dyDescent="0.2"/>
    <row r="1210" ht="18" customHeight="1" x14ac:dyDescent="0.2"/>
    <row r="1211" ht="18" customHeight="1" x14ac:dyDescent="0.2"/>
    <row r="1212" ht="18" customHeight="1" x14ac:dyDescent="0.2"/>
    <row r="1213" ht="18" customHeight="1" x14ac:dyDescent="0.2"/>
    <row r="1214" ht="18" customHeight="1" x14ac:dyDescent="0.2"/>
    <row r="1215" ht="18" customHeight="1" x14ac:dyDescent="0.2"/>
    <row r="1216" ht="18" customHeight="1" x14ac:dyDescent="0.2"/>
    <row r="1217" ht="18" customHeight="1" x14ac:dyDescent="0.2"/>
    <row r="1218" ht="18" customHeight="1" x14ac:dyDescent="0.2"/>
    <row r="1219" ht="18" customHeight="1" x14ac:dyDescent="0.2"/>
    <row r="1220" ht="18" customHeight="1" x14ac:dyDescent="0.2"/>
    <row r="1221" ht="18" customHeight="1" x14ac:dyDescent="0.2"/>
    <row r="1222" ht="18" customHeight="1" x14ac:dyDescent="0.2"/>
    <row r="1223" ht="18" customHeight="1" x14ac:dyDescent="0.2"/>
    <row r="1224" ht="18" customHeight="1" x14ac:dyDescent="0.2"/>
    <row r="1225" ht="18" customHeight="1" x14ac:dyDescent="0.2"/>
    <row r="1226" ht="18" customHeight="1" x14ac:dyDescent="0.2"/>
    <row r="1227" ht="18" customHeight="1" x14ac:dyDescent="0.2"/>
    <row r="1228" ht="18" customHeight="1" x14ac:dyDescent="0.2"/>
    <row r="1229" ht="18" customHeight="1" x14ac:dyDescent="0.2"/>
    <row r="1230" ht="18" customHeight="1" x14ac:dyDescent="0.2"/>
    <row r="1231" ht="18" customHeight="1" x14ac:dyDescent="0.2"/>
    <row r="1232" ht="18" customHeight="1" x14ac:dyDescent="0.2"/>
    <row r="1233" ht="18" customHeight="1" x14ac:dyDescent="0.2"/>
    <row r="1234" ht="18" customHeight="1" x14ac:dyDescent="0.2"/>
    <row r="1235" ht="18" customHeight="1" x14ac:dyDescent="0.2"/>
    <row r="1236" ht="18" customHeight="1" x14ac:dyDescent="0.2"/>
    <row r="1237" ht="18" customHeight="1" x14ac:dyDescent="0.2"/>
    <row r="1238" ht="18" customHeight="1" x14ac:dyDescent="0.2"/>
    <row r="1239" ht="18" customHeight="1" x14ac:dyDescent="0.2"/>
    <row r="1240" ht="18" customHeight="1" x14ac:dyDescent="0.2"/>
    <row r="1241" ht="18" customHeight="1" x14ac:dyDescent="0.2"/>
    <row r="1242" ht="18" customHeight="1" x14ac:dyDescent="0.2"/>
    <row r="1243" ht="18" customHeight="1" x14ac:dyDescent="0.2"/>
    <row r="1244" ht="18" customHeight="1" x14ac:dyDescent="0.2"/>
    <row r="1245" ht="18" customHeight="1" x14ac:dyDescent="0.2"/>
    <row r="1246" ht="18" customHeight="1" x14ac:dyDescent="0.2"/>
    <row r="1247" ht="18" customHeight="1" x14ac:dyDescent="0.2"/>
    <row r="1248" ht="18" customHeight="1" x14ac:dyDescent="0.2"/>
    <row r="1249" ht="18" customHeight="1" x14ac:dyDescent="0.2"/>
    <row r="1250" ht="18" customHeight="1" x14ac:dyDescent="0.2"/>
    <row r="1251" ht="18" customHeight="1" x14ac:dyDescent="0.2"/>
    <row r="1252" ht="18" customHeight="1" x14ac:dyDescent="0.2"/>
    <row r="1253" ht="18" customHeight="1" x14ac:dyDescent="0.2"/>
    <row r="1254" ht="18" customHeight="1" x14ac:dyDescent="0.2"/>
    <row r="1255" ht="18" customHeight="1" x14ac:dyDescent="0.2"/>
    <row r="1256" ht="18" customHeight="1" x14ac:dyDescent="0.2"/>
    <row r="1257" ht="18" customHeight="1" x14ac:dyDescent="0.2"/>
    <row r="1258" ht="18" customHeight="1" x14ac:dyDescent="0.2"/>
    <row r="1259" ht="18" customHeight="1" x14ac:dyDescent="0.2"/>
    <row r="1260" ht="18" customHeight="1" x14ac:dyDescent="0.2"/>
    <row r="1261" ht="18" customHeight="1" x14ac:dyDescent="0.2"/>
    <row r="1262" ht="18" customHeight="1" x14ac:dyDescent="0.2"/>
    <row r="1263" ht="18" customHeight="1" x14ac:dyDescent="0.2"/>
    <row r="1264" ht="18" customHeight="1" x14ac:dyDescent="0.2"/>
    <row r="1265" ht="18" customHeight="1" x14ac:dyDescent="0.2"/>
    <row r="1266" ht="18" customHeight="1" x14ac:dyDescent="0.2"/>
    <row r="1267" ht="18" customHeight="1" x14ac:dyDescent="0.2"/>
    <row r="1268" ht="18" customHeight="1" x14ac:dyDescent="0.2"/>
    <row r="1269" ht="18" customHeight="1" x14ac:dyDescent="0.2"/>
    <row r="1270" ht="18" customHeight="1" x14ac:dyDescent="0.2"/>
    <row r="1271" ht="18" customHeight="1" x14ac:dyDescent="0.2"/>
    <row r="1272" ht="18" customHeight="1" x14ac:dyDescent="0.2"/>
    <row r="1273" ht="18" customHeight="1" x14ac:dyDescent="0.2"/>
    <row r="1274" ht="18" customHeight="1" x14ac:dyDescent="0.2"/>
    <row r="1275" ht="18" customHeight="1" x14ac:dyDescent="0.2"/>
    <row r="1276" ht="18" customHeight="1" x14ac:dyDescent="0.2"/>
    <row r="1277" ht="18" customHeight="1" x14ac:dyDescent="0.2"/>
    <row r="1278" ht="18" customHeight="1" x14ac:dyDescent="0.2"/>
    <row r="1279" ht="18" customHeight="1" x14ac:dyDescent="0.2"/>
    <row r="1280" ht="18" customHeight="1" x14ac:dyDescent="0.2"/>
    <row r="1281" ht="18" customHeight="1" x14ac:dyDescent="0.2"/>
    <row r="1282" ht="18" customHeight="1" x14ac:dyDescent="0.2"/>
    <row r="1283" ht="18" customHeight="1" x14ac:dyDescent="0.2"/>
    <row r="1284" ht="18" customHeight="1" x14ac:dyDescent="0.2"/>
    <row r="1285" ht="18" customHeight="1" x14ac:dyDescent="0.2"/>
    <row r="1286" ht="18" customHeight="1" x14ac:dyDescent="0.2"/>
    <row r="1287" ht="18" customHeight="1" x14ac:dyDescent="0.2"/>
    <row r="1288" ht="18" customHeight="1" x14ac:dyDescent="0.2"/>
    <row r="1289" ht="18" customHeight="1" x14ac:dyDescent="0.2"/>
    <row r="1290" ht="18" customHeight="1" x14ac:dyDescent="0.2"/>
    <row r="1291" ht="18" customHeight="1" x14ac:dyDescent="0.2"/>
    <row r="1292" ht="18" customHeight="1" x14ac:dyDescent="0.2"/>
    <row r="1293" ht="18" customHeight="1" x14ac:dyDescent="0.2"/>
    <row r="1294" ht="18" customHeight="1" x14ac:dyDescent="0.2"/>
    <row r="1295" ht="18" customHeight="1" x14ac:dyDescent="0.2"/>
    <row r="1296" ht="18" customHeight="1" x14ac:dyDescent="0.2"/>
    <row r="1297" ht="18" customHeight="1" x14ac:dyDescent="0.2"/>
    <row r="1298" ht="18" customHeight="1" x14ac:dyDescent="0.2"/>
    <row r="1299" ht="18" customHeight="1" x14ac:dyDescent="0.2"/>
    <row r="1300" ht="18" customHeight="1" x14ac:dyDescent="0.2"/>
    <row r="1301" ht="18" customHeight="1" x14ac:dyDescent="0.2"/>
    <row r="1302" ht="18" customHeight="1" x14ac:dyDescent="0.2"/>
    <row r="1303" ht="18" customHeight="1" x14ac:dyDescent="0.2"/>
    <row r="1304" ht="18" customHeight="1" x14ac:dyDescent="0.2"/>
    <row r="1305" ht="18" customHeight="1" x14ac:dyDescent="0.2"/>
    <row r="1306" ht="18" customHeight="1" x14ac:dyDescent="0.2"/>
    <row r="1307" ht="18" customHeight="1" x14ac:dyDescent="0.2"/>
    <row r="1308" ht="18" customHeight="1" x14ac:dyDescent="0.2"/>
    <row r="1309" ht="18" customHeight="1" x14ac:dyDescent="0.2"/>
    <row r="1310" ht="18" customHeight="1" x14ac:dyDescent="0.2"/>
    <row r="1311" ht="18" customHeight="1" x14ac:dyDescent="0.2"/>
    <row r="1312" ht="18" customHeight="1" x14ac:dyDescent="0.2"/>
    <row r="1313" ht="18" customHeight="1" x14ac:dyDescent="0.2"/>
    <row r="1314" ht="18" customHeight="1" x14ac:dyDescent="0.2"/>
    <row r="1315" ht="18" customHeight="1" x14ac:dyDescent="0.2"/>
    <row r="1316" ht="18" customHeight="1" x14ac:dyDescent="0.2"/>
    <row r="1317" ht="18" customHeight="1" x14ac:dyDescent="0.2"/>
    <row r="1318" ht="18" customHeight="1" x14ac:dyDescent="0.2"/>
    <row r="1319" ht="18" customHeight="1" x14ac:dyDescent="0.2"/>
    <row r="1320" ht="18" customHeight="1" x14ac:dyDescent="0.2"/>
    <row r="1321" ht="18" customHeight="1" x14ac:dyDescent="0.2"/>
    <row r="1322" ht="18" customHeight="1" x14ac:dyDescent="0.2"/>
    <row r="1323" ht="18" customHeight="1" x14ac:dyDescent="0.2"/>
    <row r="1324" ht="18" customHeight="1" x14ac:dyDescent="0.2"/>
    <row r="1325" ht="18" customHeight="1" x14ac:dyDescent="0.2"/>
    <row r="1326" ht="18" customHeight="1" x14ac:dyDescent="0.2"/>
    <row r="1327" ht="18" customHeight="1" x14ac:dyDescent="0.2"/>
    <row r="1328" ht="18" customHeight="1" x14ac:dyDescent="0.2"/>
    <row r="1329" ht="18" customHeight="1" x14ac:dyDescent="0.2"/>
    <row r="1330" ht="18" customHeight="1" x14ac:dyDescent="0.2"/>
    <row r="1331" ht="18" customHeight="1" x14ac:dyDescent="0.2"/>
    <row r="1332" ht="18" customHeight="1" x14ac:dyDescent="0.2"/>
    <row r="1333" ht="18" customHeight="1" x14ac:dyDescent="0.2"/>
    <row r="1334" ht="18" customHeight="1" x14ac:dyDescent="0.2"/>
    <row r="1335" ht="18" customHeight="1" x14ac:dyDescent="0.2"/>
    <row r="1336" ht="18" customHeight="1" x14ac:dyDescent="0.2"/>
    <row r="1337" ht="18" customHeight="1" x14ac:dyDescent="0.2"/>
    <row r="1338" ht="18" customHeight="1" x14ac:dyDescent="0.2"/>
    <row r="1339" ht="18" customHeight="1" x14ac:dyDescent="0.2"/>
    <row r="1340" ht="18" customHeight="1" x14ac:dyDescent="0.2"/>
    <row r="1341" ht="18" customHeight="1" x14ac:dyDescent="0.2"/>
    <row r="1342" ht="18" customHeight="1" x14ac:dyDescent="0.2"/>
    <row r="1343" ht="18" customHeight="1" x14ac:dyDescent="0.2"/>
    <row r="1344" ht="18" customHeight="1" x14ac:dyDescent="0.2"/>
    <row r="1345" ht="18" customHeight="1" x14ac:dyDescent="0.2"/>
    <row r="1346" ht="18" customHeight="1" x14ac:dyDescent="0.2"/>
    <row r="1347" ht="18" customHeight="1" x14ac:dyDescent="0.2"/>
    <row r="1348" ht="18" customHeight="1" x14ac:dyDescent="0.2"/>
    <row r="1349" ht="18" customHeight="1" x14ac:dyDescent="0.2"/>
    <row r="1350" ht="18" customHeight="1" x14ac:dyDescent="0.2"/>
    <row r="1351" ht="18" customHeight="1" x14ac:dyDescent="0.2"/>
    <row r="1352" ht="18" customHeight="1" x14ac:dyDescent="0.2"/>
    <row r="1353" ht="18" customHeight="1" x14ac:dyDescent="0.2"/>
    <row r="1354" ht="18" customHeight="1" x14ac:dyDescent="0.2"/>
    <row r="1355" ht="18" customHeight="1" x14ac:dyDescent="0.2"/>
    <row r="1356" ht="18" customHeight="1" x14ac:dyDescent="0.2"/>
    <row r="1357" ht="18" customHeight="1" x14ac:dyDescent="0.2"/>
    <row r="1358" ht="18" customHeight="1" x14ac:dyDescent="0.2"/>
    <row r="1359" ht="18" customHeight="1" x14ac:dyDescent="0.2"/>
    <row r="1360" ht="18" customHeight="1" x14ac:dyDescent="0.2"/>
    <row r="1361" ht="18" customHeight="1" x14ac:dyDescent="0.2"/>
    <row r="1362" ht="18" customHeight="1" x14ac:dyDescent="0.2"/>
    <row r="1363" ht="18" customHeight="1" x14ac:dyDescent="0.2"/>
    <row r="1364" ht="18" customHeight="1" x14ac:dyDescent="0.2"/>
    <row r="1365" ht="18" customHeight="1" x14ac:dyDescent="0.2"/>
    <row r="1366" ht="18" customHeight="1" x14ac:dyDescent="0.2"/>
    <row r="1367" ht="18" customHeight="1" x14ac:dyDescent="0.2"/>
    <row r="1368" ht="18" customHeight="1" x14ac:dyDescent="0.2"/>
    <row r="1369" ht="18" customHeight="1" x14ac:dyDescent="0.2"/>
    <row r="1370" ht="18" customHeight="1" x14ac:dyDescent="0.2"/>
    <row r="1371" ht="18" customHeight="1" x14ac:dyDescent="0.2"/>
    <row r="1372" ht="18" customHeight="1" x14ac:dyDescent="0.2"/>
    <row r="1373" ht="18" customHeight="1" x14ac:dyDescent="0.2"/>
    <row r="1374" ht="18" customHeight="1" x14ac:dyDescent="0.2"/>
    <row r="1375" ht="18" customHeight="1" x14ac:dyDescent="0.2"/>
    <row r="1376" ht="18" customHeight="1" x14ac:dyDescent="0.2"/>
    <row r="1377" ht="18" customHeight="1" x14ac:dyDescent="0.2"/>
    <row r="1378" ht="18" customHeight="1" x14ac:dyDescent="0.2"/>
    <row r="1379" ht="18" customHeight="1" x14ac:dyDescent="0.2"/>
    <row r="1380" ht="18" customHeight="1" x14ac:dyDescent="0.2"/>
    <row r="1381" ht="18" customHeight="1" x14ac:dyDescent="0.2"/>
    <row r="1382" ht="18" customHeight="1" x14ac:dyDescent="0.2"/>
    <row r="1383" ht="18" customHeight="1" x14ac:dyDescent="0.2"/>
    <row r="1384" ht="18" customHeight="1" x14ac:dyDescent="0.2"/>
    <row r="1385" ht="18" customHeight="1" x14ac:dyDescent="0.2"/>
    <row r="1386" ht="18" customHeight="1" x14ac:dyDescent="0.2"/>
    <row r="1387" ht="18" customHeight="1" x14ac:dyDescent="0.2"/>
    <row r="1388" ht="18" customHeight="1" x14ac:dyDescent="0.2"/>
    <row r="1389" ht="18" customHeight="1" x14ac:dyDescent="0.2"/>
    <row r="1390" ht="18" customHeight="1" x14ac:dyDescent="0.2"/>
    <row r="1391" ht="18" customHeight="1" x14ac:dyDescent="0.2"/>
    <row r="1392" ht="18" customHeight="1" x14ac:dyDescent="0.2"/>
    <row r="1393" ht="18" customHeight="1" x14ac:dyDescent="0.2"/>
    <row r="1394" ht="18" customHeight="1" x14ac:dyDescent="0.2"/>
    <row r="1395" ht="18" customHeight="1" x14ac:dyDescent="0.2"/>
    <row r="1396" ht="18" customHeight="1" x14ac:dyDescent="0.2"/>
    <row r="1397" ht="18" customHeight="1" x14ac:dyDescent="0.2"/>
    <row r="1398" ht="18" customHeight="1" x14ac:dyDescent="0.2"/>
    <row r="1399" ht="18" customHeight="1" x14ac:dyDescent="0.2"/>
    <row r="1400" ht="18" customHeight="1" x14ac:dyDescent="0.2"/>
    <row r="1401" ht="18" customHeight="1" x14ac:dyDescent="0.2"/>
    <row r="1402" ht="18" customHeight="1" x14ac:dyDescent="0.2"/>
    <row r="1403" ht="18" customHeight="1" x14ac:dyDescent="0.2"/>
    <row r="1404" ht="18" customHeight="1" x14ac:dyDescent="0.2"/>
    <row r="1405" ht="18" customHeight="1" x14ac:dyDescent="0.2"/>
    <row r="1406" ht="18" customHeight="1" x14ac:dyDescent="0.2"/>
    <row r="1407" ht="18" customHeight="1" x14ac:dyDescent="0.2"/>
    <row r="1408" ht="18" customHeight="1" x14ac:dyDescent="0.2"/>
    <row r="1409" ht="18" customHeight="1" x14ac:dyDescent="0.2"/>
    <row r="1410" ht="18" customHeight="1" x14ac:dyDescent="0.2"/>
    <row r="1411" ht="18" customHeight="1" x14ac:dyDescent="0.2"/>
    <row r="1412" ht="18" customHeight="1" x14ac:dyDescent="0.2"/>
    <row r="1413" ht="18" customHeight="1" x14ac:dyDescent="0.2"/>
    <row r="1414" ht="18" customHeight="1" x14ac:dyDescent="0.2"/>
    <row r="1415" ht="18" customHeight="1" x14ac:dyDescent="0.2"/>
    <row r="1416" ht="18" customHeight="1" x14ac:dyDescent="0.2"/>
    <row r="1417" ht="18" customHeight="1" x14ac:dyDescent="0.2"/>
    <row r="1418" ht="18" customHeight="1" x14ac:dyDescent="0.2"/>
    <row r="1419" ht="18" customHeight="1" x14ac:dyDescent="0.2"/>
    <row r="1420" ht="18" customHeight="1" x14ac:dyDescent="0.2"/>
    <row r="1421" ht="18" customHeight="1" x14ac:dyDescent="0.2"/>
    <row r="1422" ht="18" customHeight="1" x14ac:dyDescent="0.2"/>
    <row r="1423" ht="18" customHeight="1" x14ac:dyDescent="0.2"/>
    <row r="1424" ht="18" customHeight="1" x14ac:dyDescent="0.2"/>
    <row r="1425" ht="18" customHeight="1" x14ac:dyDescent="0.2"/>
    <row r="1426" ht="18" customHeight="1" x14ac:dyDescent="0.2"/>
    <row r="1427" ht="18" customHeight="1" x14ac:dyDescent="0.2"/>
    <row r="1428" ht="18" customHeight="1" x14ac:dyDescent="0.2"/>
    <row r="1429" ht="18" customHeight="1" x14ac:dyDescent="0.2"/>
    <row r="1430" ht="18" customHeight="1" x14ac:dyDescent="0.2"/>
    <row r="1431" ht="18" customHeight="1" x14ac:dyDescent="0.2"/>
    <row r="1432" ht="18" customHeight="1" x14ac:dyDescent="0.2"/>
    <row r="1433" ht="18" customHeight="1" x14ac:dyDescent="0.2"/>
    <row r="1434" ht="18" customHeight="1" x14ac:dyDescent="0.2"/>
    <row r="1435" ht="18" customHeight="1" x14ac:dyDescent="0.2"/>
    <row r="1436" ht="18" customHeight="1" x14ac:dyDescent="0.2"/>
    <row r="1437" ht="18" customHeight="1" x14ac:dyDescent="0.2"/>
    <row r="1438" ht="18" customHeight="1" x14ac:dyDescent="0.2"/>
    <row r="1439" ht="18" customHeight="1" x14ac:dyDescent="0.2"/>
    <row r="1440" ht="18" customHeight="1" x14ac:dyDescent="0.2"/>
    <row r="1441" ht="18" customHeight="1" x14ac:dyDescent="0.2"/>
    <row r="1442" ht="18" customHeight="1" x14ac:dyDescent="0.2"/>
    <row r="1443" ht="18" customHeight="1" x14ac:dyDescent="0.2"/>
    <row r="1444" ht="18" customHeight="1" x14ac:dyDescent="0.2"/>
    <row r="1445" ht="18" customHeight="1" x14ac:dyDescent="0.2"/>
    <row r="1446" ht="18" customHeight="1" x14ac:dyDescent="0.2"/>
    <row r="1447" ht="18" customHeight="1" x14ac:dyDescent="0.2"/>
    <row r="1448" ht="18" customHeight="1" x14ac:dyDescent="0.2"/>
    <row r="1449" ht="18" customHeight="1" x14ac:dyDescent="0.2"/>
    <row r="1450" ht="18" customHeight="1" x14ac:dyDescent="0.2"/>
    <row r="1451" ht="18" customHeight="1" x14ac:dyDescent="0.2"/>
    <row r="1452" ht="18" customHeight="1" x14ac:dyDescent="0.2"/>
    <row r="1453" ht="18" customHeight="1" x14ac:dyDescent="0.2"/>
    <row r="1454" ht="18" customHeight="1" x14ac:dyDescent="0.2"/>
    <row r="1455" ht="18" customHeight="1" x14ac:dyDescent="0.2"/>
    <row r="1456" ht="18" customHeight="1" x14ac:dyDescent="0.2"/>
    <row r="1457" ht="18" customHeight="1" x14ac:dyDescent="0.2"/>
    <row r="1458" ht="18" customHeight="1" x14ac:dyDescent="0.2"/>
    <row r="1459" ht="18" customHeight="1" x14ac:dyDescent="0.2"/>
    <row r="1460" ht="18" customHeight="1" x14ac:dyDescent="0.2"/>
    <row r="1461" ht="18" customHeight="1" x14ac:dyDescent="0.2"/>
    <row r="1462" ht="18" customHeight="1" x14ac:dyDescent="0.2"/>
    <row r="1463" ht="18" customHeight="1" x14ac:dyDescent="0.2"/>
    <row r="1464" ht="18" customHeight="1" x14ac:dyDescent="0.2"/>
    <row r="1465" ht="18" customHeight="1" x14ac:dyDescent="0.2"/>
    <row r="1466" ht="18" customHeight="1" x14ac:dyDescent="0.2"/>
    <row r="1467" ht="18" customHeight="1" x14ac:dyDescent="0.2"/>
    <row r="1468" ht="18" customHeight="1" x14ac:dyDescent="0.2"/>
    <row r="1469" ht="18" customHeight="1" x14ac:dyDescent="0.2"/>
    <row r="1470" ht="18" customHeight="1" x14ac:dyDescent="0.2"/>
    <row r="1471" ht="18" customHeight="1" x14ac:dyDescent="0.2"/>
    <row r="1472" ht="18" customHeight="1" x14ac:dyDescent="0.2"/>
    <row r="1473" ht="18" customHeight="1" x14ac:dyDescent="0.2"/>
    <row r="1474" ht="18" customHeight="1" x14ac:dyDescent="0.2"/>
    <row r="1475" ht="18" customHeight="1" x14ac:dyDescent="0.2"/>
    <row r="1476" ht="18" customHeight="1" x14ac:dyDescent="0.2"/>
    <row r="1477" ht="18" customHeight="1" x14ac:dyDescent="0.2"/>
    <row r="1478" ht="18" customHeight="1" x14ac:dyDescent="0.2"/>
    <row r="1479" ht="18" customHeight="1" x14ac:dyDescent="0.2"/>
    <row r="1480" ht="18" customHeight="1" x14ac:dyDescent="0.2"/>
    <row r="1481" ht="18" customHeight="1" x14ac:dyDescent="0.2"/>
    <row r="1482" ht="18" customHeight="1" x14ac:dyDescent="0.2"/>
    <row r="1483" ht="18" customHeight="1" x14ac:dyDescent="0.2"/>
    <row r="1484" ht="18" customHeight="1" x14ac:dyDescent="0.2"/>
    <row r="1485" ht="18" customHeight="1" x14ac:dyDescent="0.2"/>
    <row r="1486" ht="18" customHeight="1" x14ac:dyDescent="0.2"/>
    <row r="1487" ht="18" customHeight="1" x14ac:dyDescent="0.2"/>
    <row r="1488" ht="18" customHeight="1" x14ac:dyDescent="0.2"/>
    <row r="1489" ht="18" customHeight="1" x14ac:dyDescent="0.2"/>
    <row r="1490" ht="18" customHeight="1" x14ac:dyDescent="0.2"/>
    <row r="1491" ht="18" customHeight="1" x14ac:dyDescent="0.2"/>
    <row r="1492" ht="18" customHeight="1" x14ac:dyDescent="0.2"/>
    <row r="1493" ht="18" customHeight="1" x14ac:dyDescent="0.2"/>
    <row r="1494" ht="18" customHeight="1" x14ac:dyDescent="0.2"/>
    <row r="1495" ht="18" customHeight="1" x14ac:dyDescent="0.2"/>
    <row r="1496" ht="18" customHeight="1" x14ac:dyDescent="0.2"/>
    <row r="1497" ht="18" customHeight="1" x14ac:dyDescent="0.2"/>
    <row r="1498" ht="18" customHeight="1" x14ac:dyDescent="0.2"/>
    <row r="1499" ht="18" customHeight="1" x14ac:dyDescent="0.2"/>
    <row r="1500" ht="18" customHeight="1" x14ac:dyDescent="0.2"/>
    <row r="1501" ht="18" customHeight="1" x14ac:dyDescent="0.2"/>
    <row r="1502" ht="18" customHeight="1" x14ac:dyDescent="0.2"/>
    <row r="1503" ht="18" customHeight="1" x14ac:dyDescent="0.2"/>
    <row r="1504" ht="18" customHeight="1" x14ac:dyDescent="0.2"/>
    <row r="1505" ht="18" customHeight="1" x14ac:dyDescent="0.2"/>
    <row r="1506" ht="18" customHeight="1" x14ac:dyDescent="0.2"/>
    <row r="1507" ht="18" customHeight="1" x14ac:dyDescent="0.2"/>
    <row r="1508" ht="18" customHeight="1" x14ac:dyDescent="0.2"/>
    <row r="1509" ht="18" customHeight="1" x14ac:dyDescent="0.2"/>
    <row r="1510" ht="18" customHeight="1" x14ac:dyDescent="0.2"/>
    <row r="1511" ht="18" customHeight="1" x14ac:dyDescent="0.2"/>
    <row r="1512" ht="18" customHeight="1" x14ac:dyDescent="0.2"/>
    <row r="1513" ht="18" customHeight="1" x14ac:dyDescent="0.2"/>
    <row r="1514" ht="18" customHeight="1" x14ac:dyDescent="0.2"/>
    <row r="1515" ht="18" customHeight="1" x14ac:dyDescent="0.2"/>
    <row r="1516" ht="18" customHeight="1" x14ac:dyDescent="0.2"/>
    <row r="1517" ht="18" customHeight="1" x14ac:dyDescent="0.2"/>
    <row r="1518" ht="18" customHeight="1" x14ac:dyDescent="0.2"/>
    <row r="1519" ht="18" customHeight="1" x14ac:dyDescent="0.2"/>
    <row r="1520" ht="18" customHeight="1" x14ac:dyDescent="0.2"/>
    <row r="1521" ht="18" customHeight="1" x14ac:dyDescent="0.2"/>
    <row r="1522" ht="18" customHeight="1" x14ac:dyDescent="0.2"/>
    <row r="1523" ht="18" customHeight="1" x14ac:dyDescent="0.2"/>
    <row r="1524" ht="18" customHeight="1" x14ac:dyDescent="0.2"/>
    <row r="1525" ht="18" customHeight="1" x14ac:dyDescent="0.2"/>
    <row r="1526" ht="18" customHeight="1" x14ac:dyDescent="0.2"/>
    <row r="1527" ht="18" customHeight="1" x14ac:dyDescent="0.2"/>
    <row r="1528" ht="18" customHeight="1" x14ac:dyDescent="0.2"/>
    <row r="1529" ht="18" customHeight="1" x14ac:dyDescent="0.2"/>
    <row r="1530" ht="18" customHeight="1" x14ac:dyDescent="0.2"/>
    <row r="1531" ht="18" customHeight="1" x14ac:dyDescent="0.2"/>
    <row r="1532" ht="18" customHeight="1" x14ac:dyDescent="0.2"/>
    <row r="1533" ht="18" customHeight="1" x14ac:dyDescent="0.2"/>
    <row r="1534" ht="18" customHeight="1" x14ac:dyDescent="0.2"/>
    <row r="1535" ht="18" customHeight="1" x14ac:dyDescent="0.2"/>
    <row r="1536" ht="18" customHeight="1" x14ac:dyDescent="0.2"/>
    <row r="1537" ht="18" customHeight="1" x14ac:dyDescent="0.2"/>
    <row r="1538" ht="18" customHeight="1" x14ac:dyDescent="0.2"/>
    <row r="1539" ht="18" customHeight="1" x14ac:dyDescent="0.2"/>
    <row r="1540" ht="18" customHeight="1" x14ac:dyDescent="0.2"/>
    <row r="1541" ht="18" customHeight="1" x14ac:dyDescent="0.2"/>
    <row r="1542" ht="18" customHeight="1" x14ac:dyDescent="0.2"/>
    <row r="1543" ht="18" customHeight="1" x14ac:dyDescent="0.2"/>
    <row r="1544" ht="18" customHeight="1" x14ac:dyDescent="0.2"/>
    <row r="1545" ht="18" customHeight="1" x14ac:dyDescent="0.2"/>
    <row r="1546" ht="18" customHeight="1" x14ac:dyDescent="0.2"/>
    <row r="1547" ht="18" customHeight="1" x14ac:dyDescent="0.2"/>
    <row r="1548" ht="18" customHeight="1" x14ac:dyDescent="0.2"/>
    <row r="1549" ht="18" customHeight="1" x14ac:dyDescent="0.2"/>
    <row r="1550" ht="18" customHeight="1" x14ac:dyDescent="0.2"/>
    <row r="1551" ht="18" customHeight="1" x14ac:dyDescent="0.2"/>
    <row r="1552" ht="18" customHeight="1" x14ac:dyDescent="0.2"/>
    <row r="1553" ht="18" customHeight="1" x14ac:dyDescent="0.2"/>
    <row r="1554" ht="18" customHeight="1" x14ac:dyDescent="0.2"/>
    <row r="1555" ht="18" customHeight="1" x14ac:dyDescent="0.2"/>
    <row r="1556" ht="18" customHeight="1" x14ac:dyDescent="0.2"/>
    <row r="1557" ht="18" customHeight="1" x14ac:dyDescent="0.2"/>
    <row r="1558" ht="18" customHeight="1" x14ac:dyDescent="0.2"/>
    <row r="1559" ht="18" customHeight="1" x14ac:dyDescent="0.2"/>
    <row r="1560" ht="18" customHeight="1" x14ac:dyDescent="0.2"/>
    <row r="1561" ht="18" customHeight="1" x14ac:dyDescent="0.2"/>
    <row r="1562" ht="18" customHeight="1" x14ac:dyDescent="0.2"/>
    <row r="1563" ht="18" customHeight="1" x14ac:dyDescent="0.2"/>
    <row r="1564" ht="18" customHeight="1" x14ac:dyDescent="0.2"/>
    <row r="1565" ht="18" customHeight="1" x14ac:dyDescent="0.2"/>
    <row r="1566" ht="18" customHeight="1" x14ac:dyDescent="0.2"/>
    <row r="1567" ht="18" customHeight="1" x14ac:dyDescent="0.2"/>
    <row r="1568" ht="18" customHeight="1" x14ac:dyDescent="0.2"/>
    <row r="1569" ht="18" customHeight="1" x14ac:dyDescent="0.2"/>
    <row r="1570" ht="18" customHeight="1" x14ac:dyDescent="0.2"/>
    <row r="1571" ht="18" customHeight="1" x14ac:dyDescent="0.2"/>
    <row r="1572" ht="18" customHeight="1" x14ac:dyDescent="0.2"/>
    <row r="1573" ht="18" customHeight="1" x14ac:dyDescent="0.2"/>
    <row r="1574" ht="18" customHeight="1" x14ac:dyDescent="0.2"/>
    <row r="1575" ht="18" customHeight="1" x14ac:dyDescent="0.2"/>
    <row r="1576" ht="18" customHeight="1" x14ac:dyDescent="0.2"/>
    <row r="1577" ht="18" customHeight="1" x14ac:dyDescent="0.2"/>
    <row r="1578" ht="18" customHeight="1" x14ac:dyDescent="0.2"/>
    <row r="1579" ht="18" customHeight="1" x14ac:dyDescent="0.2"/>
    <row r="1580" ht="18" customHeight="1" x14ac:dyDescent="0.2"/>
    <row r="1581" ht="18" customHeight="1" x14ac:dyDescent="0.2"/>
    <row r="1582" ht="18" customHeight="1" x14ac:dyDescent="0.2"/>
    <row r="1583" ht="18" customHeight="1" x14ac:dyDescent="0.2"/>
    <row r="1584" ht="18" customHeight="1" x14ac:dyDescent="0.2"/>
    <row r="1585" ht="18" customHeight="1" x14ac:dyDescent="0.2"/>
    <row r="1586" ht="18" customHeight="1" x14ac:dyDescent="0.2"/>
    <row r="1587" ht="18" customHeight="1" x14ac:dyDescent="0.2"/>
    <row r="1588" ht="18" customHeight="1" x14ac:dyDescent="0.2"/>
    <row r="1589" ht="18" customHeight="1" x14ac:dyDescent="0.2"/>
    <row r="1590" ht="18" customHeight="1" x14ac:dyDescent="0.2"/>
    <row r="1591" ht="18" customHeight="1" x14ac:dyDescent="0.2"/>
    <row r="1592" ht="18" customHeight="1" x14ac:dyDescent="0.2"/>
    <row r="1593" ht="18" customHeight="1" x14ac:dyDescent="0.2"/>
    <row r="1594" ht="18" customHeight="1" x14ac:dyDescent="0.2"/>
    <row r="1595" ht="18" customHeight="1" x14ac:dyDescent="0.2"/>
    <row r="1596" ht="18" customHeight="1" x14ac:dyDescent="0.2"/>
    <row r="1597" ht="18" customHeight="1" x14ac:dyDescent="0.2"/>
    <row r="1598" ht="18" customHeight="1" x14ac:dyDescent="0.2"/>
    <row r="1599" ht="18" customHeight="1" x14ac:dyDescent="0.2"/>
    <row r="1600" ht="18" customHeight="1" x14ac:dyDescent="0.2"/>
    <row r="1601" ht="18" customHeight="1" x14ac:dyDescent="0.2"/>
    <row r="1602" ht="18" customHeight="1" x14ac:dyDescent="0.2"/>
    <row r="1603" ht="18" customHeight="1" x14ac:dyDescent="0.2"/>
    <row r="1604" ht="18" customHeight="1" x14ac:dyDescent="0.2"/>
    <row r="1605" ht="18" customHeight="1" x14ac:dyDescent="0.2"/>
    <row r="1606" ht="18" customHeight="1" x14ac:dyDescent="0.2"/>
    <row r="1607" ht="18" customHeight="1" x14ac:dyDescent="0.2"/>
    <row r="1608" ht="18" customHeight="1" x14ac:dyDescent="0.2"/>
    <row r="1609" ht="18" customHeight="1" x14ac:dyDescent="0.2"/>
    <row r="1610" ht="18" customHeight="1" x14ac:dyDescent="0.2"/>
    <row r="1611" ht="18" customHeight="1" x14ac:dyDescent="0.2"/>
    <row r="1612" ht="18" customHeight="1" x14ac:dyDescent="0.2"/>
    <row r="1613" ht="18" customHeight="1" x14ac:dyDescent="0.2"/>
    <row r="1614" ht="18" customHeight="1" x14ac:dyDescent="0.2"/>
    <row r="1615" ht="18" customHeight="1" x14ac:dyDescent="0.2"/>
    <row r="1616" ht="18" customHeight="1" x14ac:dyDescent="0.2"/>
    <row r="1617" ht="18" customHeight="1" x14ac:dyDescent="0.2"/>
    <row r="1618" ht="18" customHeight="1" x14ac:dyDescent="0.2"/>
    <row r="1619" ht="18" customHeight="1" x14ac:dyDescent="0.2"/>
    <row r="1620" ht="18" customHeight="1" x14ac:dyDescent="0.2"/>
    <row r="1621" ht="18" customHeight="1" x14ac:dyDescent="0.2"/>
    <row r="1622" ht="18" customHeight="1" x14ac:dyDescent="0.2"/>
    <row r="1623" ht="18" customHeight="1" x14ac:dyDescent="0.2"/>
    <row r="1624" ht="18" customHeight="1" x14ac:dyDescent="0.2"/>
    <row r="1625" ht="18" customHeight="1" x14ac:dyDescent="0.2"/>
    <row r="1626" ht="18" customHeight="1" x14ac:dyDescent="0.2"/>
    <row r="1627" ht="18" customHeight="1" x14ac:dyDescent="0.2"/>
    <row r="1628" ht="18" customHeight="1" x14ac:dyDescent="0.2"/>
    <row r="1629" ht="18" customHeight="1" x14ac:dyDescent="0.2"/>
    <row r="1630" ht="18" customHeight="1" x14ac:dyDescent="0.2"/>
    <row r="1631" ht="18" customHeight="1" x14ac:dyDescent="0.2"/>
    <row r="1632" ht="18" customHeight="1" x14ac:dyDescent="0.2"/>
    <row r="1633" ht="18" customHeight="1" x14ac:dyDescent="0.2"/>
    <row r="1634" ht="18" customHeight="1" x14ac:dyDescent="0.2"/>
    <row r="1635" ht="18" customHeight="1" x14ac:dyDescent="0.2"/>
    <row r="1636" ht="18" customHeight="1" x14ac:dyDescent="0.2"/>
    <row r="1637" ht="18" customHeight="1" x14ac:dyDescent="0.2"/>
    <row r="1638" ht="18" customHeight="1" x14ac:dyDescent="0.2"/>
    <row r="1639" ht="18" customHeight="1" x14ac:dyDescent="0.2"/>
    <row r="1640" ht="18" customHeight="1" x14ac:dyDescent="0.2"/>
    <row r="1641" ht="18" customHeight="1" x14ac:dyDescent="0.2"/>
    <row r="1642" ht="18" customHeight="1" x14ac:dyDescent="0.2"/>
    <row r="1643" ht="18" customHeight="1" x14ac:dyDescent="0.2"/>
    <row r="1644" ht="18" customHeight="1" x14ac:dyDescent="0.2"/>
    <row r="1645" ht="18" customHeight="1" x14ac:dyDescent="0.2"/>
    <row r="1646" ht="18" customHeight="1" x14ac:dyDescent="0.2"/>
    <row r="1647" ht="18" customHeight="1" x14ac:dyDescent="0.2"/>
    <row r="1648" ht="18" customHeight="1" x14ac:dyDescent="0.2"/>
    <row r="1649" ht="18" customHeight="1" x14ac:dyDescent="0.2"/>
    <row r="1650" ht="18" customHeight="1" x14ac:dyDescent="0.2"/>
    <row r="1651" ht="18" customHeight="1" x14ac:dyDescent="0.2"/>
    <row r="1652" ht="18" customHeight="1" x14ac:dyDescent="0.2"/>
    <row r="1653" ht="18" customHeight="1" x14ac:dyDescent="0.2"/>
    <row r="1654" ht="18" customHeight="1" x14ac:dyDescent="0.2"/>
    <row r="1655" ht="18" customHeight="1" x14ac:dyDescent="0.2"/>
    <row r="1656" ht="18" customHeight="1" x14ac:dyDescent="0.2"/>
    <row r="1657" ht="18" customHeight="1" x14ac:dyDescent="0.2"/>
    <row r="1658" ht="18" customHeight="1" x14ac:dyDescent="0.2"/>
    <row r="1659" ht="18" customHeight="1" x14ac:dyDescent="0.2"/>
    <row r="1660" ht="18" customHeight="1" x14ac:dyDescent="0.2"/>
    <row r="1661" ht="18" customHeight="1" x14ac:dyDescent="0.2"/>
    <row r="1662" ht="18" customHeight="1" x14ac:dyDescent="0.2"/>
    <row r="1663" ht="18" customHeight="1" x14ac:dyDescent="0.2"/>
    <row r="1664" ht="18" customHeight="1" x14ac:dyDescent="0.2"/>
    <row r="1665" ht="18" customHeight="1" x14ac:dyDescent="0.2"/>
    <row r="1666" ht="18" customHeight="1" x14ac:dyDescent="0.2"/>
    <row r="1667" ht="18" customHeight="1" x14ac:dyDescent="0.2"/>
    <row r="1668" ht="18" customHeight="1" x14ac:dyDescent="0.2"/>
    <row r="1669" ht="18" customHeight="1" x14ac:dyDescent="0.2"/>
    <row r="1670" ht="18" customHeight="1" x14ac:dyDescent="0.2"/>
    <row r="1671" ht="18" customHeight="1" x14ac:dyDescent="0.2"/>
    <row r="1672" ht="18" customHeight="1" x14ac:dyDescent="0.2"/>
    <row r="1673" ht="18" customHeight="1" x14ac:dyDescent="0.2"/>
    <row r="1674" ht="18" customHeight="1" x14ac:dyDescent="0.2"/>
    <row r="1675" ht="18" customHeight="1" x14ac:dyDescent="0.2"/>
    <row r="1676" ht="18" customHeight="1" x14ac:dyDescent="0.2"/>
    <row r="1677" ht="18" customHeight="1" x14ac:dyDescent="0.2"/>
    <row r="1678" ht="18" customHeight="1" x14ac:dyDescent="0.2"/>
    <row r="1679" ht="18" customHeight="1" x14ac:dyDescent="0.2"/>
    <row r="1680" ht="18" customHeight="1" x14ac:dyDescent="0.2"/>
    <row r="1681" ht="18" customHeight="1" x14ac:dyDescent="0.2"/>
    <row r="1682" ht="18" customHeight="1" x14ac:dyDescent="0.2"/>
    <row r="1683" ht="18" customHeight="1" x14ac:dyDescent="0.2"/>
    <row r="1684" ht="18" customHeight="1" x14ac:dyDescent="0.2"/>
    <row r="1685" ht="18" customHeight="1" x14ac:dyDescent="0.2"/>
    <row r="1686" ht="18" customHeight="1" x14ac:dyDescent="0.2"/>
    <row r="1687" ht="18" customHeight="1" x14ac:dyDescent="0.2"/>
    <row r="1688" ht="18" customHeight="1" x14ac:dyDescent="0.2"/>
    <row r="1689" ht="18" customHeight="1" x14ac:dyDescent="0.2"/>
    <row r="1690" ht="18" customHeight="1" x14ac:dyDescent="0.2"/>
    <row r="1691" ht="18" customHeight="1" x14ac:dyDescent="0.2"/>
    <row r="1692" ht="18" customHeight="1" x14ac:dyDescent="0.2"/>
    <row r="1693" ht="18" customHeight="1" x14ac:dyDescent="0.2"/>
    <row r="1694" ht="18" customHeight="1" x14ac:dyDescent="0.2"/>
    <row r="1695" ht="18" customHeight="1" x14ac:dyDescent="0.2"/>
    <row r="1696" ht="18" customHeight="1" x14ac:dyDescent="0.2"/>
    <row r="1697" ht="18" customHeight="1" x14ac:dyDescent="0.2"/>
    <row r="1698" ht="18" customHeight="1" x14ac:dyDescent="0.2"/>
    <row r="1699" ht="18" customHeight="1" x14ac:dyDescent="0.2"/>
    <row r="1700" ht="18" customHeight="1" x14ac:dyDescent="0.2"/>
    <row r="1701" ht="18" customHeight="1" x14ac:dyDescent="0.2"/>
    <row r="1702" ht="18" customHeight="1" x14ac:dyDescent="0.2"/>
    <row r="1703" ht="18" customHeight="1" x14ac:dyDescent="0.2"/>
    <row r="1704" ht="18" customHeight="1" x14ac:dyDescent="0.2"/>
    <row r="1705" ht="18" customHeight="1" x14ac:dyDescent="0.2"/>
    <row r="1706" ht="18" customHeight="1" x14ac:dyDescent="0.2"/>
    <row r="1707" ht="18" customHeight="1" x14ac:dyDescent="0.2"/>
    <row r="1708" ht="18" customHeight="1" x14ac:dyDescent="0.2"/>
    <row r="1709" ht="18" customHeight="1" x14ac:dyDescent="0.2"/>
    <row r="1710" ht="18" customHeight="1" x14ac:dyDescent="0.2"/>
    <row r="1711" ht="18" customHeight="1" x14ac:dyDescent="0.2"/>
    <row r="1712" ht="18" customHeight="1" x14ac:dyDescent="0.2"/>
    <row r="1713" ht="18" customHeight="1" x14ac:dyDescent="0.2"/>
    <row r="1714" ht="18" customHeight="1" x14ac:dyDescent="0.2"/>
    <row r="1715" ht="18" customHeight="1" x14ac:dyDescent="0.2"/>
    <row r="1716" ht="18" customHeight="1" x14ac:dyDescent="0.2"/>
    <row r="1717" ht="18" customHeight="1" x14ac:dyDescent="0.2"/>
    <row r="1718" ht="18" customHeight="1" x14ac:dyDescent="0.2"/>
    <row r="1719" ht="18" customHeight="1" x14ac:dyDescent="0.2"/>
    <row r="1720" ht="18" customHeight="1" x14ac:dyDescent="0.2"/>
    <row r="1721" ht="18" customHeight="1" x14ac:dyDescent="0.2"/>
    <row r="1722" ht="18" customHeight="1" x14ac:dyDescent="0.2"/>
    <row r="1723" ht="18" customHeight="1" x14ac:dyDescent="0.2"/>
    <row r="1724" ht="18" customHeight="1" x14ac:dyDescent="0.2"/>
    <row r="1725" ht="18" customHeight="1" x14ac:dyDescent="0.2"/>
    <row r="1726" ht="18" customHeight="1" x14ac:dyDescent="0.2"/>
    <row r="1727" ht="18" customHeight="1" x14ac:dyDescent="0.2"/>
    <row r="1728" ht="18" customHeight="1" x14ac:dyDescent="0.2"/>
    <row r="1729" ht="18" customHeight="1" x14ac:dyDescent="0.2"/>
    <row r="1730" ht="18" customHeight="1" x14ac:dyDescent="0.2"/>
    <row r="1731" ht="18" customHeight="1" x14ac:dyDescent="0.2"/>
    <row r="1732" ht="18" customHeight="1" x14ac:dyDescent="0.2"/>
    <row r="1733" ht="18" customHeight="1" x14ac:dyDescent="0.2"/>
    <row r="1734" ht="18" customHeight="1" x14ac:dyDescent="0.2"/>
    <row r="1735" ht="18" customHeight="1" x14ac:dyDescent="0.2"/>
    <row r="1736" ht="18" customHeight="1" x14ac:dyDescent="0.2"/>
    <row r="1737" ht="18" customHeight="1" x14ac:dyDescent="0.2"/>
    <row r="1738" ht="18" customHeight="1" x14ac:dyDescent="0.2"/>
    <row r="1739" ht="18" customHeight="1" x14ac:dyDescent="0.2"/>
    <row r="1740" ht="18" customHeight="1" x14ac:dyDescent="0.2"/>
    <row r="1741" ht="18" customHeight="1" x14ac:dyDescent="0.2"/>
    <row r="1742" ht="18" customHeight="1" x14ac:dyDescent="0.2"/>
    <row r="1743" ht="18" customHeight="1" x14ac:dyDescent="0.2"/>
    <row r="1744" ht="18" customHeight="1" x14ac:dyDescent="0.2"/>
    <row r="1745" ht="18" customHeight="1" x14ac:dyDescent="0.2"/>
    <row r="1746" ht="18" customHeight="1" x14ac:dyDescent="0.2"/>
    <row r="1747" ht="18" customHeight="1" x14ac:dyDescent="0.2"/>
    <row r="1748" ht="18" customHeight="1" x14ac:dyDescent="0.2"/>
    <row r="1749" ht="18" customHeight="1" x14ac:dyDescent="0.2"/>
    <row r="1750" ht="18" customHeight="1" x14ac:dyDescent="0.2"/>
    <row r="1751" ht="18" customHeight="1" x14ac:dyDescent="0.2"/>
    <row r="1752" ht="18" customHeight="1" x14ac:dyDescent="0.2"/>
    <row r="1753" ht="18" customHeight="1" x14ac:dyDescent="0.2"/>
    <row r="1754" ht="18" customHeight="1" x14ac:dyDescent="0.2"/>
    <row r="1755" ht="18" customHeight="1" x14ac:dyDescent="0.2"/>
    <row r="1756" ht="18" customHeight="1" x14ac:dyDescent="0.2"/>
    <row r="1757" ht="18" customHeight="1" x14ac:dyDescent="0.2"/>
    <row r="1758" ht="18" customHeight="1" x14ac:dyDescent="0.2"/>
    <row r="1759" ht="18" customHeight="1" x14ac:dyDescent="0.2"/>
    <row r="1760" ht="18" customHeight="1" x14ac:dyDescent="0.2"/>
    <row r="1761" ht="18" customHeight="1" x14ac:dyDescent="0.2"/>
    <row r="1762" ht="18" customHeight="1" x14ac:dyDescent="0.2"/>
    <row r="1763" ht="18" customHeight="1" x14ac:dyDescent="0.2"/>
    <row r="1764" ht="18" customHeight="1" x14ac:dyDescent="0.2"/>
    <row r="1765" ht="18" customHeight="1" x14ac:dyDescent="0.2"/>
    <row r="1766" ht="18" customHeight="1" x14ac:dyDescent="0.2"/>
    <row r="1767" ht="18" customHeight="1" x14ac:dyDescent="0.2"/>
    <row r="1768" ht="18" customHeight="1" x14ac:dyDescent="0.2"/>
    <row r="1769" ht="18" customHeight="1" x14ac:dyDescent="0.2"/>
    <row r="1770" ht="18" customHeight="1" x14ac:dyDescent="0.2"/>
    <row r="1771" ht="18" customHeight="1" x14ac:dyDescent="0.2"/>
    <row r="1772" ht="18" customHeight="1" x14ac:dyDescent="0.2"/>
    <row r="1773" ht="18" customHeight="1" x14ac:dyDescent="0.2"/>
    <row r="1774" ht="18" customHeight="1" x14ac:dyDescent="0.2"/>
    <row r="1775" ht="18" customHeight="1" x14ac:dyDescent="0.2"/>
    <row r="1776" ht="18" customHeight="1" x14ac:dyDescent="0.2"/>
    <row r="1777" ht="18" customHeight="1" x14ac:dyDescent="0.2"/>
    <row r="1778" ht="18" customHeight="1" x14ac:dyDescent="0.2"/>
    <row r="1779" ht="18" customHeight="1" x14ac:dyDescent="0.2"/>
    <row r="1780" ht="18" customHeight="1" x14ac:dyDescent="0.2"/>
    <row r="1781" ht="18" customHeight="1" x14ac:dyDescent="0.2"/>
    <row r="1782" ht="18" customHeight="1" x14ac:dyDescent="0.2"/>
    <row r="1783" ht="18" customHeight="1" x14ac:dyDescent="0.2"/>
    <row r="1784" ht="18" customHeight="1" x14ac:dyDescent="0.2"/>
    <row r="1785" ht="18" customHeight="1" x14ac:dyDescent="0.2"/>
    <row r="1786" ht="18" customHeight="1" x14ac:dyDescent="0.2"/>
    <row r="1787" ht="18" customHeight="1" x14ac:dyDescent="0.2"/>
    <row r="1788" ht="18" customHeight="1" x14ac:dyDescent="0.2"/>
    <row r="1789" ht="18" customHeight="1" x14ac:dyDescent="0.2"/>
    <row r="1790" ht="18" customHeight="1" x14ac:dyDescent="0.2"/>
    <row r="1791" ht="18" customHeight="1" x14ac:dyDescent="0.2"/>
    <row r="1792" ht="18" customHeight="1" x14ac:dyDescent="0.2"/>
    <row r="1793" ht="18" customHeight="1" x14ac:dyDescent="0.2"/>
    <row r="1794" ht="18" customHeight="1" x14ac:dyDescent="0.2"/>
    <row r="1795" ht="18" customHeight="1" x14ac:dyDescent="0.2"/>
    <row r="1796" ht="18" customHeight="1" x14ac:dyDescent="0.2"/>
    <row r="1797" ht="18" customHeight="1" x14ac:dyDescent="0.2"/>
    <row r="1798" ht="18" customHeight="1" x14ac:dyDescent="0.2"/>
    <row r="1799" ht="18" customHeight="1" x14ac:dyDescent="0.2"/>
    <row r="1800" ht="18" customHeight="1" x14ac:dyDescent="0.2"/>
    <row r="1801" ht="18" customHeight="1" x14ac:dyDescent="0.2"/>
    <row r="1802" ht="18" customHeight="1" x14ac:dyDescent="0.2"/>
    <row r="1803" ht="18" customHeight="1" x14ac:dyDescent="0.2"/>
    <row r="1804" ht="18" customHeight="1" x14ac:dyDescent="0.2"/>
    <row r="1805" ht="18" customHeight="1" x14ac:dyDescent="0.2"/>
    <row r="1806" ht="18" customHeight="1" x14ac:dyDescent="0.2"/>
    <row r="1807" ht="18" customHeight="1" x14ac:dyDescent="0.2"/>
    <row r="1808" ht="18" customHeight="1" x14ac:dyDescent="0.2"/>
    <row r="1809" ht="18" customHeight="1" x14ac:dyDescent="0.2"/>
    <row r="1810" ht="18" customHeight="1" x14ac:dyDescent="0.2"/>
    <row r="1811" ht="18" customHeight="1" x14ac:dyDescent="0.2"/>
    <row r="1812" ht="18" customHeight="1" x14ac:dyDescent="0.2"/>
    <row r="1813" ht="18" customHeight="1" x14ac:dyDescent="0.2"/>
    <row r="1814" ht="18" customHeight="1" x14ac:dyDescent="0.2"/>
    <row r="1815" ht="18" customHeight="1" x14ac:dyDescent="0.2"/>
    <row r="1816" ht="18" customHeight="1" x14ac:dyDescent="0.2"/>
    <row r="1817" ht="18" customHeight="1" x14ac:dyDescent="0.2"/>
    <row r="1818" ht="18" customHeight="1" x14ac:dyDescent="0.2"/>
    <row r="1819" ht="18" customHeight="1" x14ac:dyDescent="0.2"/>
    <row r="1820" ht="18" customHeight="1" x14ac:dyDescent="0.2"/>
    <row r="1821" ht="18" customHeight="1" x14ac:dyDescent="0.2"/>
    <row r="1822" ht="18" customHeight="1" x14ac:dyDescent="0.2"/>
    <row r="1823" ht="18" customHeight="1" x14ac:dyDescent="0.2"/>
    <row r="1824" ht="18" customHeight="1" x14ac:dyDescent="0.2"/>
    <row r="1825" ht="18" customHeight="1" x14ac:dyDescent="0.2"/>
    <row r="1826" ht="18" customHeight="1" x14ac:dyDescent="0.2"/>
    <row r="1827" ht="18" customHeight="1" x14ac:dyDescent="0.2"/>
    <row r="1828" ht="18" customHeight="1" x14ac:dyDescent="0.2"/>
    <row r="1829" ht="18" customHeight="1" x14ac:dyDescent="0.2"/>
    <row r="1830" ht="18" customHeight="1" x14ac:dyDescent="0.2"/>
    <row r="1831" ht="18" customHeight="1" x14ac:dyDescent="0.2"/>
    <row r="1832" ht="18" customHeight="1" x14ac:dyDescent="0.2"/>
    <row r="1833" ht="18" customHeight="1" x14ac:dyDescent="0.2"/>
    <row r="1834" ht="18" customHeight="1" x14ac:dyDescent="0.2"/>
    <row r="1835" ht="18" customHeight="1" x14ac:dyDescent="0.2"/>
    <row r="1836" ht="18" customHeight="1" x14ac:dyDescent="0.2"/>
    <row r="1837" ht="18" customHeight="1" x14ac:dyDescent="0.2"/>
    <row r="1838" ht="18" customHeight="1" x14ac:dyDescent="0.2"/>
    <row r="1839" ht="18" customHeight="1" x14ac:dyDescent="0.2"/>
    <row r="1840" ht="18" customHeight="1" x14ac:dyDescent="0.2"/>
    <row r="1841" ht="18" customHeight="1" x14ac:dyDescent="0.2"/>
    <row r="1842" ht="18" customHeight="1" x14ac:dyDescent="0.2"/>
    <row r="1843" ht="18" customHeight="1" x14ac:dyDescent="0.2"/>
    <row r="1844" ht="18" customHeight="1" x14ac:dyDescent="0.2"/>
    <row r="1845" ht="18" customHeight="1" x14ac:dyDescent="0.2"/>
    <row r="1846" ht="18" customHeight="1" x14ac:dyDescent="0.2"/>
    <row r="1847" ht="18" customHeight="1" x14ac:dyDescent="0.2"/>
    <row r="1848" ht="18" customHeight="1" x14ac:dyDescent="0.2"/>
  </sheetData>
  <sheetProtection password="C1B6" sheet="1" objects="1" scenarios="1"/>
  <mergeCells count="210">
    <mergeCell ref="I1020:J1020"/>
    <mergeCell ref="L1020:M1020"/>
    <mergeCell ref="I1021:J1021"/>
    <mergeCell ref="L1021:M1021"/>
    <mergeCell ref="A1028:M1028"/>
    <mergeCell ref="J964:L964"/>
    <mergeCell ref="A965:F965"/>
    <mergeCell ref="A966:F966"/>
    <mergeCell ref="A968:F968"/>
    <mergeCell ref="G1019:H1019"/>
    <mergeCell ref="I1019:J1019"/>
    <mergeCell ref="I940:J940"/>
    <mergeCell ref="L940:M940"/>
    <mergeCell ref="A957:M957"/>
    <mergeCell ref="A959:M959"/>
    <mergeCell ref="A960:M960"/>
    <mergeCell ref="A963:M963"/>
    <mergeCell ref="A898:F898"/>
    <mergeCell ref="A900:F900"/>
    <mergeCell ref="G938:H938"/>
    <mergeCell ref="I938:J938"/>
    <mergeCell ref="I939:J939"/>
    <mergeCell ref="L939:M939"/>
    <mergeCell ref="A889:M889"/>
    <mergeCell ref="A891:M891"/>
    <mergeCell ref="A892:M892"/>
    <mergeCell ref="A895:M895"/>
    <mergeCell ref="J896:L896"/>
    <mergeCell ref="A897:F897"/>
    <mergeCell ref="G872:H872"/>
    <mergeCell ref="I872:J872"/>
    <mergeCell ref="I873:J873"/>
    <mergeCell ref="L873:M873"/>
    <mergeCell ref="I874:J874"/>
    <mergeCell ref="L874:M874"/>
    <mergeCell ref="A826:M826"/>
    <mergeCell ref="A829:M829"/>
    <mergeCell ref="J830:L830"/>
    <mergeCell ref="A831:F831"/>
    <mergeCell ref="A832:F832"/>
    <mergeCell ref="A834:F834"/>
    <mergeCell ref="I813:J813"/>
    <mergeCell ref="L813:M813"/>
    <mergeCell ref="I814:J814"/>
    <mergeCell ref="L814:M814"/>
    <mergeCell ref="A823:M823"/>
    <mergeCell ref="A825:M825"/>
    <mergeCell ref="J762:L762"/>
    <mergeCell ref="A763:F763"/>
    <mergeCell ref="A764:F764"/>
    <mergeCell ref="A766:F766"/>
    <mergeCell ref="G812:H812"/>
    <mergeCell ref="I812:J812"/>
    <mergeCell ref="I744:J744"/>
    <mergeCell ref="L744:M744"/>
    <mergeCell ref="A755:M755"/>
    <mergeCell ref="A757:M757"/>
    <mergeCell ref="A758:M758"/>
    <mergeCell ref="A761:M761"/>
    <mergeCell ref="A696:F696"/>
    <mergeCell ref="A698:F698"/>
    <mergeCell ref="G742:H742"/>
    <mergeCell ref="I742:J742"/>
    <mergeCell ref="I743:J743"/>
    <mergeCell ref="L743:M743"/>
    <mergeCell ref="A687:M687"/>
    <mergeCell ref="A689:M689"/>
    <mergeCell ref="A690:M690"/>
    <mergeCell ref="A693:M693"/>
    <mergeCell ref="J694:L694"/>
    <mergeCell ref="A695:F695"/>
    <mergeCell ref="G675:H675"/>
    <mergeCell ref="I675:J675"/>
    <mergeCell ref="I676:J676"/>
    <mergeCell ref="L676:M676"/>
    <mergeCell ref="I677:J677"/>
    <mergeCell ref="L677:M677"/>
    <mergeCell ref="A621:M621"/>
    <mergeCell ref="A624:M624"/>
    <mergeCell ref="J625:L625"/>
    <mergeCell ref="A626:F626"/>
    <mergeCell ref="A627:F627"/>
    <mergeCell ref="A629:F629"/>
    <mergeCell ref="I605:J605"/>
    <mergeCell ref="L605:M605"/>
    <mergeCell ref="I606:J606"/>
    <mergeCell ref="L606:M606"/>
    <mergeCell ref="A618:M618"/>
    <mergeCell ref="A620:M620"/>
    <mergeCell ref="J557:L557"/>
    <mergeCell ref="A558:F558"/>
    <mergeCell ref="A559:F559"/>
    <mergeCell ref="A561:F561"/>
    <mergeCell ref="G604:H604"/>
    <mergeCell ref="I604:J604"/>
    <mergeCell ref="I537:J537"/>
    <mergeCell ref="L537:M537"/>
    <mergeCell ref="A550:M550"/>
    <mergeCell ref="A552:M552"/>
    <mergeCell ref="A553:M553"/>
    <mergeCell ref="A556:M556"/>
    <mergeCell ref="A490:F490"/>
    <mergeCell ref="A492:F492"/>
    <mergeCell ref="G535:H535"/>
    <mergeCell ref="I535:J535"/>
    <mergeCell ref="I536:J536"/>
    <mergeCell ref="L536:M536"/>
    <mergeCell ref="A481:M481"/>
    <mergeCell ref="A483:M483"/>
    <mergeCell ref="A484:M484"/>
    <mergeCell ref="A487:M487"/>
    <mergeCell ref="J488:L488"/>
    <mergeCell ref="A489:F489"/>
    <mergeCell ref="G470:H470"/>
    <mergeCell ref="I470:J470"/>
    <mergeCell ref="I471:J471"/>
    <mergeCell ref="L471:M471"/>
    <mergeCell ref="I472:J472"/>
    <mergeCell ref="L472:M472"/>
    <mergeCell ref="A416:M416"/>
    <mergeCell ref="A419:M419"/>
    <mergeCell ref="J420:L420"/>
    <mergeCell ref="A421:F421"/>
    <mergeCell ref="A422:F422"/>
    <mergeCell ref="A424:F424"/>
    <mergeCell ref="I399:J399"/>
    <mergeCell ref="L399:M399"/>
    <mergeCell ref="I400:J400"/>
    <mergeCell ref="L400:M400"/>
    <mergeCell ref="A413:M413"/>
    <mergeCell ref="A415:M415"/>
    <mergeCell ref="J352:L352"/>
    <mergeCell ref="A353:F353"/>
    <mergeCell ref="A354:F354"/>
    <mergeCell ref="A356:F356"/>
    <mergeCell ref="G398:H398"/>
    <mergeCell ref="I398:J398"/>
    <mergeCell ref="I331:J331"/>
    <mergeCell ref="L331:M331"/>
    <mergeCell ref="A345:M345"/>
    <mergeCell ref="A347:M347"/>
    <mergeCell ref="A348:M348"/>
    <mergeCell ref="A351:M351"/>
    <mergeCell ref="A285:F285"/>
    <mergeCell ref="A287:F287"/>
    <mergeCell ref="G329:H329"/>
    <mergeCell ref="I329:J329"/>
    <mergeCell ref="I330:J330"/>
    <mergeCell ref="L330:M330"/>
    <mergeCell ref="A276:M276"/>
    <mergeCell ref="A278:M278"/>
    <mergeCell ref="A279:M279"/>
    <mergeCell ref="A282:M282"/>
    <mergeCell ref="J283:L283"/>
    <mergeCell ref="A284:F284"/>
    <mergeCell ref="G259:H259"/>
    <mergeCell ref="I259:J259"/>
    <mergeCell ref="I260:J260"/>
    <mergeCell ref="L260:M260"/>
    <mergeCell ref="I261:J261"/>
    <mergeCell ref="L261:M261"/>
    <mergeCell ref="A209:M209"/>
    <mergeCell ref="A212:M212"/>
    <mergeCell ref="J213:L213"/>
    <mergeCell ref="A214:F214"/>
    <mergeCell ref="A215:F215"/>
    <mergeCell ref="A217:F217"/>
    <mergeCell ref="I192:J192"/>
    <mergeCell ref="L192:M192"/>
    <mergeCell ref="I193:J193"/>
    <mergeCell ref="L193:M193"/>
    <mergeCell ref="A206:M206"/>
    <mergeCell ref="A208:M208"/>
    <mergeCell ref="J146:L146"/>
    <mergeCell ref="A147:F147"/>
    <mergeCell ref="A148:F148"/>
    <mergeCell ref="A150:F150"/>
    <mergeCell ref="G191:H191"/>
    <mergeCell ref="I191:J191"/>
    <mergeCell ref="I135:J135"/>
    <mergeCell ref="L135:M135"/>
    <mergeCell ref="A139:M139"/>
    <mergeCell ref="A141:M141"/>
    <mergeCell ref="A142:M142"/>
    <mergeCell ref="A145:M145"/>
    <mergeCell ref="A80:F80"/>
    <mergeCell ref="A82:F82"/>
    <mergeCell ref="G133:H133"/>
    <mergeCell ref="I133:J133"/>
    <mergeCell ref="I134:J134"/>
    <mergeCell ref="L134:M134"/>
    <mergeCell ref="A77:M77"/>
    <mergeCell ref="J78:L78"/>
    <mergeCell ref="A79:F79"/>
    <mergeCell ref="A11:F11"/>
    <mergeCell ref="G61:H61"/>
    <mergeCell ref="I61:J61"/>
    <mergeCell ref="I62:J62"/>
    <mergeCell ref="L62:M62"/>
    <mergeCell ref="I63:J63"/>
    <mergeCell ref="L63:M63"/>
    <mergeCell ref="A2:M2"/>
    <mergeCell ref="A3:M3"/>
    <mergeCell ref="A6:M6"/>
    <mergeCell ref="J7:L7"/>
    <mergeCell ref="A8:F8"/>
    <mergeCell ref="A9:F9"/>
    <mergeCell ref="A71:M71"/>
    <mergeCell ref="A73:M73"/>
    <mergeCell ref="A74:M74"/>
  </mergeCells>
  <printOptions horizontalCentered="1"/>
  <pageMargins left="0.5" right="0" top="0.5" bottom="0" header="0" footer="0"/>
  <pageSetup paperSize="256" scale="75" orientation="portrait" r:id="rId1"/>
  <headerFooter alignWithMargins="0">
    <oddFooter xml:space="preserve">&amp;C&amp;"Times New Roman,Bold"&amp;16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7"/>
  <sheetViews>
    <sheetView workbookViewId="0">
      <selection activeCell="E4" sqref="E4"/>
    </sheetView>
  </sheetViews>
  <sheetFormatPr defaultRowHeight="12.75" x14ac:dyDescent="0.2"/>
  <cols>
    <col min="1" max="1" width="10.140625" style="1" customWidth="1"/>
    <col min="2" max="2" width="6.85546875" style="1" customWidth="1"/>
    <col min="3" max="3" width="13.85546875" style="1" customWidth="1"/>
    <col min="4" max="4" width="9.28515625" style="1" customWidth="1"/>
    <col min="5" max="5" width="17.7109375" style="1" customWidth="1"/>
    <col min="6" max="6" width="8.28515625" style="1" customWidth="1"/>
    <col min="7" max="7" width="14.5703125" style="1" customWidth="1"/>
    <col min="8" max="8" width="14.28515625" style="1" customWidth="1"/>
    <col min="9" max="9" width="14.5703125" style="1" customWidth="1"/>
    <col min="10" max="10" width="19.5703125" style="1" customWidth="1"/>
    <col min="11" max="11" width="14.85546875" style="1" customWidth="1"/>
    <col min="12" max="12" width="12.85546875" style="1" bestFit="1" customWidth="1"/>
    <col min="13" max="13" width="9.140625" style="1"/>
    <col min="14" max="14" width="9.140625" style="1" customWidth="1"/>
    <col min="15" max="16384" width="9.140625" style="1"/>
  </cols>
  <sheetData>
    <row r="1" spans="1:12" s="818" customFormat="1" ht="15.75" x14ac:dyDescent="0.25">
      <c r="A1" s="805"/>
      <c r="B1" s="806"/>
      <c r="C1" s="806"/>
      <c r="D1" s="806"/>
      <c r="E1" s="806"/>
      <c r="F1" s="806"/>
      <c r="G1" s="806"/>
      <c r="H1" s="806"/>
      <c r="I1" s="806"/>
      <c r="J1" s="806"/>
      <c r="K1" s="807"/>
    </row>
    <row r="2" spans="1:12" s="818" customFormat="1" ht="15.75" x14ac:dyDescent="0.25">
      <c r="A2" s="1104" t="s">
        <v>638</v>
      </c>
      <c r="B2" s="1104"/>
      <c r="C2" s="1104"/>
      <c r="D2" s="1104"/>
      <c r="E2" s="1104"/>
      <c r="F2" s="1104"/>
      <c r="G2" s="1104"/>
      <c r="H2" s="1104"/>
      <c r="I2" s="1104"/>
      <c r="J2" s="1104"/>
      <c r="K2" s="1104"/>
      <c r="L2" s="909"/>
    </row>
    <row r="3" spans="1:12" s="818" customFormat="1" ht="15.75" x14ac:dyDescent="0.25">
      <c r="A3" s="1104" t="s">
        <v>364</v>
      </c>
      <c r="B3" s="1104"/>
      <c r="C3" s="1104"/>
      <c r="D3" s="1104"/>
      <c r="E3" s="1104"/>
      <c r="F3" s="1104"/>
      <c r="G3" s="1104"/>
      <c r="H3" s="1104"/>
      <c r="I3" s="1104"/>
      <c r="J3" s="1104"/>
      <c r="K3" s="1104"/>
      <c r="L3" s="909"/>
    </row>
    <row r="4" spans="1:12" s="818" customFormat="1" ht="15.75" x14ac:dyDescent="0.25">
      <c r="A4" s="909"/>
      <c r="B4" s="909"/>
      <c r="C4" s="909"/>
      <c r="D4" s="909"/>
      <c r="E4" s="909"/>
      <c r="F4" s="909"/>
      <c r="G4" s="909"/>
      <c r="H4" s="909"/>
      <c r="I4" s="909"/>
      <c r="J4" s="909"/>
      <c r="K4" s="909"/>
    </row>
    <row r="5" spans="1:12" s="818" customFormat="1" ht="15.75" x14ac:dyDescent="0.25">
      <c r="A5" s="909"/>
      <c r="B5" s="909"/>
      <c r="C5" s="909"/>
      <c r="D5" s="909"/>
      <c r="E5" s="909"/>
      <c r="F5" s="909"/>
      <c r="G5" s="909"/>
      <c r="H5" s="909"/>
      <c r="I5" s="909"/>
      <c r="J5" s="909"/>
      <c r="K5" s="909"/>
    </row>
    <row r="6" spans="1:12" s="818" customFormat="1" ht="4.5" customHeight="1" thickBot="1" x14ac:dyDescent="0.3">
      <c r="A6" s="1104"/>
      <c r="B6" s="1104"/>
      <c r="C6" s="1104"/>
      <c r="D6" s="1104"/>
      <c r="E6" s="1104"/>
      <c r="F6" s="1104"/>
      <c r="G6" s="1104"/>
      <c r="H6" s="1104"/>
      <c r="I6" s="1104"/>
      <c r="J6" s="1104"/>
      <c r="K6" s="1104"/>
    </row>
    <row r="7" spans="1:12" s="818" customFormat="1" ht="19.5" customHeight="1" x14ac:dyDescent="0.25">
      <c r="A7" s="819"/>
      <c r="B7" s="634"/>
      <c r="C7" s="904"/>
      <c r="D7" s="905"/>
      <c r="E7" s="906"/>
      <c r="F7" s="634"/>
      <c r="G7" s="634" t="s">
        <v>6</v>
      </c>
      <c r="H7" s="1105" t="s">
        <v>641</v>
      </c>
      <c r="I7" s="1106"/>
      <c r="J7" s="1107"/>
      <c r="K7" s="808" t="s">
        <v>7</v>
      </c>
    </row>
    <row r="8" spans="1:12" s="818" customFormat="1" ht="15.75" x14ac:dyDescent="0.25">
      <c r="A8" s="820" t="s">
        <v>849</v>
      </c>
      <c r="B8" s="636"/>
      <c r="C8" s="913"/>
      <c r="D8" s="903"/>
      <c r="E8" s="910"/>
      <c r="F8" s="636"/>
      <c r="G8" s="636">
        <v>2019</v>
      </c>
      <c r="H8" s="636" t="s">
        <v>580</v>
      </c>
      <c r="I8" s="636" t="s">
        <v>581</v>
      </c>
      <c r="J8" s="636">
        <v>2020</v>
      </c>
      <c r="K8" s="638">
        <v>2021</v>
      </c>
    </row>
    <row r="9" spans="1:12" s="818" customFormat="1" ht="15.75" x14ac:dyDescent="0.25">
      <c r="A9" s="820" t="s">
        <v>850</v>
      </c>
      <c r="B9" s="636" t="s">
        <v>639</v>
      </c>
      <c r="C9" s="1109" t="s">
        <v>640</v>
      </c>
      <c r="D9" s="1075"/>
      <c r="E9" s="1110"/>
      <c r="F9" s="636"/>
      <c r="G9" s="636" t="s">
        <v>952</v>
      </c>
      <c r="H9" s="636" t="s">
        <v>579</v>
      </c>
      <c r="I9" s="636" t="s">
        <v>582</v>
      </c>
      <c r="J9" s="636" t="s">
        <v>952</v>
      </c>
      <c r="K9" s="638" t="s">
        <v>952</v>
      </c>
    </row>
    <row r="10" spans="1:12" s="818" customFormat="1" ht="15.75" x14ac:dyDescent="0.25">
      <c r="A10" s="820" t="s">
        <v>4</v>
      </c>
      <c r="B10" s="636"/>
      <c r="C10" s="913"/>
      <c r="D10" s="903"/>
      <c r="E10" s="910"/>
      <c r="F10" s="636"/>
      <c r="G10" s="636" t="s">
        <v>579</v>
      </c>
      <c r="H10" s="636">
        <v>2020</v>
      </c>
      <c r="I10" s="636">
        <v>2020</v>
      </c>
      <c r="J10" s="636" t="s">
        <v>953</v>
      </c>
      <c r="K10" s="638" t="s">
        <v>584</v>
      </c>
    </row>
    <row r="11" spans="1:12" ht="13.5" thickBot="1" x14ac:dyDescent="0.25">
      <c r="A11" s="821"/>
      <c r="B11" s="644"/>
      <c r="C11" s="1111"/>
      <c r="D11" s="1077"/>
      <c r="E11" s="1112"/>
      <c r="F11" s="644"/>
      <c r="G11" s="644"/>
      <c r="H11" s="644"/>
      <c r="I11" s="644"/>
      <c r="J11" s="644"/>
      <c r="K11" s="646"/>
    </row>
    <row r="12" spans="1:12" x14ac:dyDescent="0.2">
      <c r="A12" s="749"/>
      <c r="B12" s="749"/>
      <c r="C12" s="822"/>
      <c r="D12" s="823"/>
      <c r="E12" s="824"/>
      <c r="F12" s="825"/>
      <c r="G12" s="826"/>
      <c r="H12" s="827"/>
      <c r="I12" s="827"/>
      <c r="J12" s="827"/>
      <c r="K12" s="827"/>
    </row>
    <row r="13" spans="1:12" s="818" customFormat="1" ht="18" customHeight="1" x14ac:dyDescent="0.3">
      <c r="A13" s="828"/>
      <c r="B13" s="658"/>
      <c r="C13" s="829" t="s">
        <v>810</v>
      </c>
      <c r="D13" s="830"/>
      <c r="E13" s="831"/>
      <c r="F13" s="658">
        <v>1181</v>
      </c>
      <c r="G13" s="832">
        <f>857154.82+30640.7+38665</f>
        <v>926460.5199999999</v>
      </c>
      <c r="H13" s="736">
        <v>399629.54</v>
      </c>
      <c r="I13" s="736">
        <f>950000-H13</f>
        <v>550370.46</v>
      </c>
      <c r="J13" s="736">
        <f>I13+H13</f>
        <v>950000</v>
      </c>
      <c r="K13" s="736">
        <v>950000</v>
      </c>
    </row>
    <row r="14" spans="1:12" s="818" customFormat="1" ht="18" customHeight="1" x14ac:dyDescent="0.3">
      <c r="A14" s="828"/>
      <c r="B14" s="658"/>
      <c r="C14" s="829" t="s">
        <v>811</v>
      </c>
      <c r="D14" s="830"/>
      <c r="E14" s="831"/>
      <c r="F14" s="658">
        <v>1191</v>
      </c>
      <c r="G14" s="832">
        <f>306121.22+7800</f>
        <v>313921.21999999997</v>
      </c>
      <c r="H14" s="736">
        <v>161864.79999999999</v>
      </c>
      <c r="I14" s="736">
        <f>350000-H14</f>
        <v>188135.2</v>
      </c>
      <c r="J14" s="736">
        <f t="shared" ref="J14:J40" si="0">I14+H14</f>
        <v>350000</v>
      </c>
      <c r="K14" s="736">
        <v>350000</v>
      </c>
    </row>
    <row r="15" spans="1:12" s="818" customFormat="1" ht="18" customHeight="1" x14ac:dyDescent="0.3">
      <c r="A15" s="828"/>
      <c r="B15" s="658"/>
      <c r="C15" s="829" t="s">
        <v>812</v>
      </c>
      <c r="D15" s="830"/>
      <c r="E15" s="831"/>
      <c r="F15" s="658">
        <v>1158</v>
      </c>
      <c r="G15" s="832">
        <v>49218.6</v>
      </c>
      <c r="H15" s="736">
        <v>15653</v>
      </c>
      <c r="I15" s="736">
        <f>50000-H15</f>
        <v>34347</v>
      </c>
      <c r="J15" s="736">
        <f t="shared" si="0"/>
        <v>50000</v>
      </c>
      <c r="K15" s="736">
        <v>70000</v>
      </c>
    </row>
    <row r="16" spans="1:12" s="818" customFormat="1" ht="18" customHeight="1" x14ac:dyDescent="0.3">
      <c r="A16" s="828"/>
      <c r="B16" s="658"/>
      <c r="C16" s="829" t="s">
        <v>813</v>
      </c>
      <c r="D16" s="830"/>
      <c r="E16" s="831"/>
      <c r="F16" s="658">
        <v>1111</v>
      </c>
      <c r="G16" s="832">
        <v>66481</v>
      </c>
      <c r="H16" s="736">
        <v>26459</v>
      </c>
      <c r="I16" s="736">
        <f>70000-H16</f>
        <v>43541</v>
      </c>
      <c r="J16" s="736">
        <f t="shared" si="0"/>
        <v>70000</v>
      </c>
      <c r="K16" s="736">
        <v>70000</v>
      </c>
    </row>
    <row r="17" spans="1:11" s="818" customFormat="1" ht="18" customHeight="1" x14ac:dyDescent="0.3">
      <c r="A17" s="828"/>
      <c r="B17" s="658"/>
      <c r="C17" s="829" t="s">
        <v>814</v>
      </c>
      <c r="D17" s="830"/>
      <c r="E17" s="831"/>
      <c r="F17" s="658" t="s">
        <v>273</v>
      </c>
      <c r="G17" s="832">
        <v>16691</v>
      </c>
      <c r="H17" s="736">
        <v>10000</v>
      </c>
      <c r="I17" s="736">
        <f>36000-H17</f>
        <v>26000</v>
      </c>
      <c r="J17" s="736">
        <f t="shared" si="0"/>
        <v>36000</v>
      </c>
      <c r="K17" s="736">
        <v>33000</v>
      </c>
    </row>
    <row r="18" spans="1:11" s="818" customFormat="1" ht="18" customHeight="1" x14ac:dyDescent="0.3">
      <c r="A18" s="828"/>
      <c r="B18" s="658"/>
      <c r="C18" s="829" t="s">
        <v>815</v>
      </c>
      <c r="D18" s="830"/>
      <c r="E18" s="831"/>
      <c r="F18" s="658" t="s">
        <v>28</v>
      </c>
      <c r="G18" s="832">
        <v>20198.400000000001</v>
      </c>
      <c r="H18" s="736">
        <v>10000</v>
      </c>
      <c r="I18" s="736">
        <f>36000-H18</f>
        <v>26000</v>
      </c>
      <c r="J18" s="736">
        <f t="shared" si="0"/>
        <v>36000</v>
      </c>
      <c r="K18" s="736">
        <v>33000</v>
      </c>
    </row>
    <row r="19" spans="1:11" s="818" customFormat="1" ht="18" customHeight="1" x14ac:dyDescent="0.3">
      <c r="A19" s="828"/>
      <c r="B19" s="658"/>
      <c r="C19" s="829" t="s">
        <v>819</v>
      </c>
      <c r="D19" s="830"/>
      <c r="E19" s="831"/>
      <c r="F19" s="658" t="s">
        <v>29</v>
      </c>
      <c r="G19" s="832">
        <f>167518.5+30299</f>
        <v>197817.5</v>
      </c>
      <c r="H19" s="736">
        <v>90779</v>
      </c>
      <c r="I19" s="736">
        <f>200000-H19</f>
        <v>109221</v>
      </c>
      <c r="J19" s="736">
        <f t="shared" si="0"/>
        <v>200000</v>
      </c>
      <c r="K19" s="736">
        <v>200000</v>
      </c>
    </row>
    <row r="20" spans="1:11" s="818" customFormat="1" ht="18" customHeight="1" x14ac:dyDescent="0.3">
      <c r="A20" s="828"/>
      <c r="B20" s="658"/>
      <c r="C20" s="829" t="s">
        <v>821</v>
      </c>
      <c r="D20" s="830"/>
      <c r="E20" s="831"/>
      <c r="F20" s="658" t="s">
        <v>30</v>
      </c>
      <c r="G20" s="832">
        <f>204362.42+38760</f>
        <v>243122.42</v>
      </c>
      <c r="H20" s="736">
        <v>70025</v>
      </c>
      <c r="I20" s="736">
        <f>196000-H20</f>
        <v>125975</v>
      </c>
      <c r="J20" s="736">
        <f t="shared" si="0"/>
        <v>196000</v>
      </c>
      <c r="K20" s="736">
        <v>196000</v>
      </c>
    </row>
    <row r="21" spans="1:11" s="818" customFormat="1" ht="18" customHeight="1" x14ac:dyDescent="0.3">
      <c r="A21" s="828"/>
      <c r="B21" s="658"/>
      <c r="C21" s="829" t="s">
        <v>822</v>
      </c>
      <c r="D21" s="830"/>
      <c r="E21" s="831"/>
      <c r="F21" s="658" t="s">
        <v>31</v>
      </c>
      <c r="G21" s="832">
        <v>24000</v>
      </c>
      <c r="H21" s="736">
        <v>10000</v>
      </c>
      <c r="I21" s="736">
        <f>26000-H21</f>
        <v>16000</v>
      </c>
      <c r="J21" s="736">
        <f t="shared" si="0"/>
        <v>26000</v>
      </c>
      <c r="K21" s="736">
        <v>26000</v>
      </c>
    </row>
    <row r="22" spans="1:11" s="818" customFormat="1" ht="18" customHeight="1" x14ac:dyDescent="0.3">
      <c r="A22" s="828"/>
      <c r="B22" s="658"/>
      <c r="C22" s="829" t="s">
        <v>873</v>
      </c>
      <c r="D22" s="830"/>
      <c r="E22" s="831"/>
      <c r="F22" s="658" t="s">
        <v>32</v>
      </c>
      <c r="G22" s="832">
        <f>45000+38050</f>
        <v>83050</v>
      </c>
      <c r="H22" s="736">
        <v>0</v>
      </c>
      <c r="I22" s="736">
        <f>100000-H22</f>
        <v>100000</v>
      </c>
      <c r="J22" s="736">
        <f t="shared" si="0"/>
        <v>100000</v>
      </c>
      <c r="K22" s="736">
        <v>100000</v>
      </c>
    </row>
    <row r="23" spans="1:11" s="818" customFormat="1" ht="18" customHeight="1" x14ac:dyDescent="0.3">
      <c r="A23" s="828"/>
      <c r="B23" s="658"/>
      <c r="C23" s="829" t="s">
        <v>856</v>
      </c>
      <c r="D23" s="830"/>
      <c r="E23" s="831"/>
      <c r="F23" s="658" t="s">
        <v>33</v>
      </c>
      <c r="G23" s="832">
        <f>187000</f>
        <v>187000</v>
      </c>
      <c r="H23" s="736">
        <v>85000</v>
      </c>
      <c r="I23" s="736">
        <f>204000-H23</f>
        <v>119000</v>
      </c>
      <c r="J23" s="736">
        <f t="shared" si="0"/>
        <v>204000</v>
      </c>
      <c r="K23" s="736">
        <v>204000</v>
      </c>
    </row>
    <row r="24" spans="1:11" s="818" customFormat="1" ht="18" customHeight="1" x14ac:dyDescent="0.3">
      <c r="A24" s="828"/>
      <c r="B24" s="658"/>
      <c r="C24" s="829" t="s">
        <v>951</v>
      </c>
      <c r="D24" s="830"/>
      <c r="E24" s="831"/>
      <c r="F24" s="658" t="s">
        <v>406</v>
      </c>
      <c r="G24" s="832">
        <v>949714.39</v>
      </c>
      <c r="H24" s="736">
        <v>0</v>
      </c>
      <c r="I24" s="736">
        <f>600000-H24</f>
        <v>600000</v>
      </c>
      <c r="J24" s="736">
        <f t="shared" si="0"/>
        <v>600000</v>
      </c>
      <c r="K24" s="736">
        <f>600000-300000</f>
        <v>300000</v>
      </c>
    </row>
    <row r="25" spans="1:11" s="818" customFormat="1" ht="18" customHeight="1" x14ac:dyDescent="0.3">
      <c r="A25" s="828"/>
      <c r="B25" s="658"/>
      <c r="C25" s="829" t="s">
        <v>820</v>
      </c>
      <c r="D25" s="830"/>
      <c r="E25" s="831"/>
      <c r="F25" s="658" t="s">
        <v>407</v>
      </c>
      <c r="G25" s="832">
        <v>0</v>
      </c>
      <c r="H25" s="736">
        <v>0</v>
      </c>
      <c r="I25" s="736">
        <f>25200-H25</f>
        <v>25200</v>
      </c>
      <c r="J25" s="736">
        <f t="shared" si="0"/>
        <v>25200</v>
      </c>
      <c r="K25" s="736">
        <v>25200</v>
      </c>
    </row>
    <row r="26" spans="1:11" s="818" customFormat="1" ht="18" customHeight="1" x14ac:dyDescent="0.3">
      <c r="A26" s="828"/>
      <c r="B26" s="658"/>
      <c r="C26" s="829" t="s">
        <v>824</v>
      </c>
      <c r="D26" s="830"/>
      <c r="E26" s="831"/>
      <c r="F26" s="658" t="s">
        <v>408</v>
      </c>
      <c r="G26" s="832">
        <f>8200+21500</f>
        <v>29700</v>
      </c>
      <c r="H26" s="736">
        <v>0</v>
      </c>
      <c r="I26" s="736">
        <f>30000-H26</f>
        <v>30000</v>
      </c>
      <c r="J26" s="736">
        <f t="shared" si="0"/>
        <v>30000</v>
      </c>
      <c r="K26" s="736">
        <v>30000</v>
      </c>
    </row>
    <row r="27" spans="1:11" s="818" customFormat="1" ht="18" customHeight="1" x14ac:dyDescent="0.3">
      <c r="A27" s="828"/>
      <c r="B27" s="658"/>
      <c r="C27" s="829" t="s">
        <v>825</v>
      </c>
      <c r="D27" s="830"/>
      <c r="E27" s="831"/>
      <c r="F27" s="658" t="s">
        <v>409</v>
      </c>
      <c r="G27" s="832">
        <f>116500</f>
        <v>116500</v>
      </c>
      <c r="H27" s="736">
        <v>20500</v>
      </c>
      <c r="I27" s="736">
        <f>126000-H27</f>
        <v>105500</v>
      </c>
      <c r="J27" s="736">
        <f t="shared" si="0"/>
        <v>126000</v>
      </c>
      <c r="K27" s="736">
        <v>126000</v>
      </c>
    </row>
    <row r="28" spans="1:11" s="915" customFormat="1" ht="18" customHeight="1" x14ac:dyDescent="0.3">
      <c r="A28" s="884"/>
      <c r="B28" s="717"/>
      <c r="C28" s="885" t="s">
        <v>1535</v>
      </c>
      <c r="D28" s="886"/>
      <c r="E28" s="887"/>
      <c r="F28" s="717" t="s">
        <v>410</v>
      </c>
      <c r="G28" s="914">
        <v>0</v>
      </c>
      <c r="H28" s="888">
        <v>0</v>
      </c>
      <c r="I28" s="888">
        <f>75000-H28</f>
        <v>75000</v>
      </c>
      <c r="J28" s="888">
        <f t="shared" si="0"/>
        <v>75000</v>
      </c>
      <c r="K28" s="888">
        <v>75000</v>
      </c>
    </row>
    <row r="29" spans="1:11" s="818" customFormat="1" ht="18" customHeight="1" x14ac:dyDescent="0.3">
      <c r="A29" s="828"/>
      <c r="B29" s="658"/>
      <c r="C29" s="829" t="s">
        <v>827</v>
      </c>
      <c r="D29" s="830"/>
      <c r="E29" s="831"/>
      <c r="F29" s="658" t="s">
        <v>411</v>
      </c>
      <c r="G29" s="832">
        <v>0</v>
      </c>
      <c r="H29" s="736">
        <v>0</v>
      </c>
      <c r="I29" s="736">
        <f>150000-H29</f>
        <v>150000</v>
      </c>
      <c r="J29" s="736">
        <f t="shared" si="0"/>
        <v>150000</v>
      </c>
      <c r="K29" s="736">
        <v>150000</v>
      </c>
    </row>
    <row r="30" spans="1:11" s="818" customFormat="1" ht="18" customHeight="1" x14ac:dyDescent="0.3">
      <c r="A30" s="828"/>
      <c r="B30" s="658"/>
      <c r="C30" s="829" t="s">
        <v>917</v>
      </c>
      <c r="D30" s="830"/>
      <c r="E30" s="831"/>
      <c r="F30" s="658" t="s">
        <v>412</v>
      </c>
      <c r="G30" s="832">
        <v>647500</v>
      </c>
      <c r="H30" s="736">
        <v>404500</v>
      </c>
      <c r="I30" s="736">
        <f>960000-H30</f>
        <v>555500</v>
      </c>
      <c r="J30" s="736">
        <f t="shared" si="0"/>
        <v>960000</v>
      </c>
      <c r="K30" s="736">
        <v>960000</v>
      </c>
    </row>
    <row r="31" spans="1:11" s="818" customFormat="1" ht="18" customHeight="1" x14ac:dyDescent="0.3">
      <c r="A31" s="828"/>
      <c r="B31" s="658"/>
      <c r="C31" s="829" t="s">
        <v>823</v>
      </c>
      <c r="D31" s="830"/>
      <c r="E31" s="831"/>
      <c r="F31" s="658" t="s">
        <v>413</v>
      </c>
      <c r="G31" s="832">
        <v>0</v>
      </c>
      <c r="H31" s="736">
        <v>0</v>
      </c>
      <c r="I31" s="736">
        <f>134000-H31</f>
        <v>134000</v>
      </c>
      <c r="J31" s="736">
        <f t="shared" si="0"/>
        <v>134000</v>
      </c>
      <c r="K31" s="736">
        <v>135000</v>
      </c>
    </row>
    <row r="32" spans="1:11" s="818" customFormat="1" ht="18" customHeight="1" x14ac:dyDescent="0.3">
      <c r="A32" s="828"/>
      <c r="B32" s="658"/>
      <c r="C32" s="829" t="s">
        <v>828</v>
      </c>
      <c r="D32" s="830"/>
      <c r="E32" s="831"/>
      <c r="F32" s="658" t="s">
        <v>414</v>
      </c>
      <c r="G32" s="832">
        <v>243650</v>
      </c>
      <c r="H32" s="736">
        <v>0</v>
      </c>
      <c r="I32" s="736">
        <f>243650-H32</f>
        <v>243650</v>
      </c>
      <c r="J32" s="736">
        <f t="shared" si="0"/>
        <v>243650</v>
      </c>
      <c r="K32" s="736">
        <v>243650</v>
      </c>
    </row>
    <row r="33" spans="1:11" s="818" customFormat="1" ht="18" customHeight="1" x14ac:dyDescent="0.3">
      <c r="A33" s="833"/>
      <c r="B33" s="666"/>
      <c r="C33" s="834" t="s">
        <v>930</v>
      </c>
      <c r="D33" s="835"/>
      <c r="E33" s="836"/>
      <c r="F33" s="658" t="s">
        <v>415</v>
      </c>
      <c r="G33" s="837">
        <v>98300</v>
      </c>
      <c r="H33" s="838">
        <v>0</v>
      </c>
      <c r="I33" s="736">
        <f>187200-H33</f>
        <v>187200</v>
      </c>
      <c r="J33" s="736">
        <f t="shared" si="0"/>
        <v>187200</v>
      </c>
      <c r="K33" s="838">
        <v>144000</v>
      </c>
    </row>
    <row r="34" spans="1:11" s="818" customFormat="1" ht="18" customHeight="1" x14ac:dyDescent="0.3">
      <c r="A34" s="833"/>
      <c r="B34" s="666"/>
      <c r="C34" s="834" t="s">
        <v>971</v>
      </c>
      <c r="D34" s="835"/>
      <c r="E34" s="836"/>
      <c r="F34" s="658" t="s">
        <v>1661</v>
      </c>
      <c r="G34" s="837">
        <v>51600</v>
      </c>
      <c r="H34" s="838">
        <v>0</v>
      </c>
      <c r="I34" s="736">
        <f>51600-H34</f>
        <v>51600</v>
      </c>
      <c r="J34" s="736">
        <f t="shared" si="0"/>
        <v>51600</v>
      </c>
      <c r="K34" s="838">
        <v>100800</v>
      </c>
    </row>
    <row r="35" spans="1:11" s="818" customFormat="1" ht="18" customHeight="1" x14ac:dyDescent="0.3">
      <c r="A35" s="833"/>
      <c r="B35" s="666"/>
      <c r="C35" s="834" t="s">
        <v>820</v>
      </c>
      <c r="D35" s="835"/>
      <c r="E35" s="836"/>
      <c r="F35" s="658" t="s">
        <v>972</v>
      </c>
      <c r="G35" s="837">
        <v>40800</v>
      </c>
      <c r="H35" s="838">
        <v>0</v>
      </c>
      <c r="I35" s="736">
        <f>604800-H35</f>
        <v>604800</v>
      </c>
      <c r="J35" s="736">
        <f t="shared" si="0"/>
        <v>604800</v>
      </c>
      <c r="K35" s="838">
        <v>604800</v>
      </c>
    </row>
    <row r="36" spans="1:11" s="839" customFormat="1" ht="18" customHeight="1" x14ac:dyDescent="0.3">
      <c r="A36" s="884"/>
      <c r="B36" s="717"/>
      <c r="C36" s="885" t="s">
        <v>1511</v>
      </c>
      <c r="D36" s="886"/>
      <c r="E36" s="887"/>
      <c r="F36" s="658" t="s">
        <v>1662</v>
      </c>
      <c r="G36" s="914">
        <v>29172</v>
      </c>
      <c r="H36" s="888">
        <v>65758.880000000005</v>
      </c>
      <c r="I36" s="736">
        <f>70000-H36</f>
        <v>4241.1199999999953</v>
      </c>
      <c r="J36" s="736">
        <f t="shared" si="0"/>
        <v>70000</v>
      </c>
      <c r="K36" s="888">
        <v>70000</v>
      </c>
    </row>
    <row r="37" spans="1:11" s="839" customFormat="1" ht="18" customHeight="1" x14ac:dyDescent="0.3">
      <c r="A37" s="717"/>
      <c r="B37" s="717"/>
      <c r="C37" s="885" t="s">
        <v>1530</v>
      </c>
      <c r="D37" s="886"/>
      <c r="E37" s="887"/>
      <c r="F37" s="658" t="s">
        <v>973</v>
      </c>
      <c r="G37" s="898">
        <v>0</v>
      </c>
      <c r="H37" s="897">
        <v>0</v>
      </c>
      <c r="I37" s="736">
        <f>630000-H37</f>
        <v>630000</v>
      </c>
      <c r="J37" s="736">
        <f t="shared" si="0"/>
        <v>630000</v>
      </c>
      <c r="K37" s="897">
        <v>630000</v>
      </c>
    </row>
    <row r="38" spans="1:11" s="839" customFormat="1" ht="18" customHeight="1" x14ac:dyDescent="0.3">
      <c r="A38" s="717"/>
      <c r="B38" s="717"/>
      <c r="C38" s="885" t="s">
        <v>826</v>
      </c>
      <c r="D38" s="886"/>
      <c r="E38" s="887"/>
      <c r="F38" s="658" t="s">
        <v>1512</v>
      </c>
      <c r="G38" s="898">
        <v>122037</v>
      </c>
      <c r="H38" s="888">
        <v>10400</v>
      </c>
      <c r="I38" s="736">
        <f>75000-H38</f>
        <v>64600</v>
      </c>
      <c r="J38" s="736">
        <f t="shared" si="0"/>
        <v>75000</v>
      </c>
      <c r="K38" s="888">
        <v>75000</v>
      </c>
    </row>
    <row r="39" spans="1:11" s="839" customFormat="1" ht="18" customHeight="1" x14ac:dyDescent="0.3">
      <c r="A39" s="717"/>
      <c r="B39" s="717"/>
      <c r="C39" s="885" t="s">
        <v>1536</v>
      </c>
      <c r="D39" s="886"/>
      <c r="E39" s="887"/>
      <c r="F39" s="658" t="s">
        <v>1531</v>
      </c>
      <c r="G39" s="898">
        <v>31500</v>
      </c>
      <c r="H39" s="888">
        <v>0</v>
      </c>
      <c r="I39" s="736">
        <f>66000-H39</f>
        <v>66000</v>
      </c>
      <c r="J39" s="736">
        <f t="shared" si="0"/>
        <v>66000</v>
      </c>
      <c r="K39" s="888">
        <v>66000</v>
      </c>
    </row>
    <row r="40" spans="1:11" s="839" customFormat="1" ht="18" customHeight="1" x14ac:dyDescent="0.3">
      <c r="A40" s="717"/>
      <c r="B40" s="717"/>
      <c r="C40" s="885" t="s">
        <v>1537</v>
      </c>
      <c r="D40" s="886"/>
      <c r="E40" s="887"/>
      <c r="F40" s="658" t="s">
        <v>1538</v>
      </c>
      <c r="G40" s="898">
        <v>0</v>
      </c>
      <c r="H40" s="888">
        <v>0</v>
      </c>
      <c r="I40" s="736">
        <f>300000-H40</f>
        <v>300000</v>
      </c>
      <c r="J40" s="736">
        <f t="shared" si="0"/>
        <v>300000</v>
      </c>
      <c r="K40" s="888">
        <f>300000+300000</f>
        <v>600000</v>
      </c>
    </row>
    <row r="41" spans="1:11" s="840" customFormat="1" ht="18" customHeight="1" thickBot="1" x14ac:dyDescent="0.3">
      <c r="A41" s="889" t="s">
        <v>635</v>
      </c>
      <c r="B41" s="890"/>
      <c r="C41" s="891"/>
      <c r="D41" s="892"/>
      <c r="E41" s="893"/>
      <c r="F41" s="894"/>
      <c r="G41" s="895">
        <f>SUM(G12:G40)</f>
        <v>4488434.05</v>
      </c>
      <c r="H41" s="895">
        <f>SUM(H12:H40)</f>
        <v>1380569.2199999997</v>
      </c>
      <c r="I41" s="895">
        <f>SUM(I12:I40)</f>
        <v>5165880.78</v>
      </c>
      <c r="J41" s="895">
        <f>SUM(J12:J40)</f>
        <v>6546450</v>
      </c>
      <c r="K41" s="896">
        <f>SUM(K12:K40)</f>
        <v>6567450</v>
      </c>
    </row>
    <row r="42" spans="1:11" ht="18" customHeight="1" x14ac:dyDescent="0.2">
      <c r="A42" s="627"/>
      <c r="B42" s="740"/>
      <c r="C42" s="740"/>
      <c r="D42" s="740"/>
      <c r="E42" s="740"/>
      <c r="F42" s="740"/>
      <c r="G42" s="740"/>
      <c r="H42" s="841"/>
      <c r="I42" s="841"/>
      <c r="J42" s="841"/>
      <c r="K42" s="841"/>
    </row>
    <row r="43" spans="1:11" s="818" customFormat="1" ht="18" customHeight="1" x14ac:dyDescent="0.25">
      <c r="A43" s="812" t="s">
        <v>636</v>
      </c>
      <c r="B43" s="812"/>
      <c r="C43" s="840"/>
      <c r="D43" s="840"/>
      <c r="F43" s="909" t="s">
        <v>637</v>
      </c>
      <c r="H43" s="813"/>
      <c r="I43" s="813"/>
      <c r="J43" s="813" t="s">
        <v>264</v>
      </c>
    </row>
    <row r="44" spans="1:11" s="818" customFormat="1" ht="18" customHeight="1" x14ac:dyDescent="0.25">
      <c r="A44" s="805"/>
      <c r="B44" s="911"/>
      <c r="C44" s="912"/>
      <c r="D44" s="912"/>
      <c r="E44" s="912"/>
      <c r="F44" s="912"/>
      <c r="G44" s="912"/>
      <c r="H44" s="810"/>
      <c r="I44" s="810"/>
      <c r="J44" s="810"/>
    </row>
    <row r="45" spans="1:11" s="818" customFormat="1" ht="18" customHeight="1" x14ac:dyDescent="0.25">
      <c r="A45" s="805"/>
      <c r="B45" s="911"/>
      <c r="C45" s="912"/>
      <c r="D45" s="912"/>
      <c r="E45" s="912"/>
      <c r="F45" s="912"/>
      <c r="G45" s="912"/>
      <c r="H45" s="810"/>
      <c r="I45" s="810"/>
      <c r="J45" s="810"/>
    </row>
    <row r="46" spans="1:11" s="818" customFormat="1" ht="18" customHeight="1" x14ac:dyDescent="0.25">
      <c r="A46" s="1113" t="s">
        <v>1495</v>
      </c>
      <c r="B46" s="1113"/>
      <c r="C46" s="1113"/>
      <c r="D46" s="842"/>
      <c r="F46" s="814"/>
      <c r="G46" s="1115" t="s">
        <v>17</v>
      </c>
      <c r="H46" s="1115"/>
      <c r="J46" s="1113" t="s">
        <v>1495</v>
      </c>
      <c r="K46" s="1113"/>
    </row>
    <row r="47" spans="1:11" s="818" customFormat="1" ht="18" customHeight="1" x14ac:dyDescent="0.25">
      <c r="A47" s="1108" t="s">
        <v>14</v>
      </c>
      <c r="B47" s="1108"/>
      <c r="C47" s="1108"/>
      <c r="D47" s="815"/>
      <c r="F47" s="816"/>
      <c r="G47" s="1114" t="s">
        <v>18</v>
      </c>
      <c r="H47" s="1114"/>
      <c r="J47" s="1108" t="s">
        <v>14</v>
      </c>
      <c r="K47" s="1108"/>
    </row>
    <row r="48" spans="1:11" s="818" customFormat="1" ht="15.75" x14ac:dyDescent="0.25">
      <c r="A48" s="806"/>
      <c r="B48" s="907"/>
      <c r="C48" s="907"/>
      <c r="D48" s="907"/>
      <c r="E48" s="907"/>
      <c r="F48" s="907"/>
      <c r="G48" s="907"/>
      <c r="H48" s="810"/>
      <c r="I48" s="810"/>
      <c r="J48" s="810"/>
      <c r="K48" s="810"/>
    </row>
    <row r="49" spans="1:11" x14ac:dyDescent="0.2">
      <c r="A49" s="627"/>
      <c r="B49" s="740"/>
      <c r="C49" s="740"/>
      <c r="D49" s="740"/>
      <c r="E49" s="740"/>
      <c r="F49" s="740"/>
      <c r="G49" s="740"/>
      <c r="H49" s="841"/>
      <c r="I49" s="841"/>
      <c r="J49" s="841"/>
      <c r="K49" s="841"/>
    </row>
    <row r="50" spans="1:11" x14ac:dyDescent="0.2">
      <c r="A50" s="627"/>
      <c r="B50" s="740"/>
      <c r="C50" s="740"/>
      <c r="D50" s="740"/>
      <c r="E50" s="740"/>
      <c r="F50" s="740"/>
      <c r="G50" s="740"/>
      <c r="H50" s="841"/>
      <c r="I50" s="841"/>
      <c r="J50" s="841"/>
      <c r="K50" s="841"/>
    </row>
    <row r="51" spans="1:11" x14ac:dyDescent="0.2">
      <c r="A51" s="627"/>
      <c r="B51" s="740"/>
      <c r="C51" s="740"/>
      <c r="D51" s="740"/>
      <c r="E51" s="740"/>
      <c r="F51" s="740"/>
      <c r="G51" s="740"/>
      <c r="H51" s="841"/>
      <c r="I51" s="841"/>
      <c r="J51" s="841"/>
      <c r="K51" s="841"/>
    </row>
    <row r="52" spans="1:11" x14ac:dyDescent="0.2">
      <c r="A52" s="627"/>
      <c r="B52" s="740"/>
      <c r="C52" s="740"/>
      <c r="D52" s="740"/>
      <c r="E52" s="740"/>
      <c r="F52" s="740"/>
      <c r="G52" s="740"/>
      <c r="H52" s="841"/>
      <c r="I52" s="841"/>
      <c r="J52" s="841"/>
      <c r="K52" s="841"/>
    </row>
    <row r="53" spans="1:11" x14ac:dyDescent="0.2">
      <c r="A53" s="627"/>
      <c r="B53" s="740"/>
      <c r="C53" s="740"/>
      <c r="D53" s="740"/>
      <c r="E53" s="740"/>
      <c r="F53" s="740"/>
      <c r="G53" s="740"/>
      <c r="H53" s="841"/>
      <c r="I53" s="841"/>
      <c r="J53" s="841"/>
      <c r="K53" s="841"/>
    </row>
    <row r="54" spans="1:11" x14ac:dyDescent="0.2">
      <c r="A54" s="627"/>
      <c r="B54" s="740"/>
      <c r="C54" s="740"/>
      <c r="D54" s="740"/>
      <c r="E54" s="740"/>
      <c r="F54" s="740"/>
      <c r="G54" s="740"/>
      <c r="H54" s="841"/>
      <c r="I54" s="841"/>
      <c r="J54" s="841"/>
      <c r="K54" s="841"/>
    </row>
    <row r="55" spans="1:11" x14ac:dyDescent="0.2">
      <c r="A55" s="627"/>
      <c r="B55" s="740"/>
      <c r="C55" s="740"/>
      <c r="D55" s="740"/>
      <c r="E55" s="740"/>
      <c r="F55" s="740"/>
      <c r="G55" s="740"/>
      <c r="H55" s="841"/>
      <c r="I55" s="841"/>
      <c r="J55" s="841"/>
      <c r="K55" s="841"/>
    </row>
    <row r="56" spans="1:11" x14ac:dyDescent="0.2">
      <c r="A56" s="627"/>
      <c r="B56" s="740"/>
      <c r="C56" s="740"/>
      <c r="D56" s="740"/>
      <c r="E56" s="740"/>
      <c r="F56" s="740"/>
      <c r="G56" s="740"/>
      <c r="H56" s="841"/>
      <c r="I56" s="841"/>
      <c r="J56" s="841"/>
      <c r="K56" s="841"/>
    </row>
    <row r="57" spans="1:11" x14ac:dyDescent="0.2">
      <c r="A57" s="627"/>
      <c r="B57" s="740"/>
      <c r="C57" s="740"/>
      <c r="D57" s="740"/>
      <c r="E57" s="740"/>
      <c r="F57" s="740"/>
      <c r="G57" s="740"/>
      <c r="H57" s="841"/>
      <c r="I57" s="841"/>
      <c r="J57" s="841"/>
      <c r="K57" s="841"/>
    </row>
    <row r="58" spans="1:11" x14ac:dyDescent="0.2">
      <c r="A58" s="627"/>
      <c r="B58" s="740"/>
      <c r="C58" s="740"/>
      <c r="D58" s="740"/>
      <c r="E58" s="740"/>
      <c r="F58" s="740"/>
      <c r="G58" s="740"/>
      <c r="H58" s="841"/>
      <c r="I58" s="841"/>
      <c r="J58" s="841"/>
      <c r="K58" s="841"/>
    </row>
    <row r="59" spans="1:11" x14ac:dyDescent="0.2">
      <c r="A59" s="627"/>
      <c r="B59" s="740"/>
      <c r="C59" s="740"/>
      <c r="D59" s="740"/>
      <c r="E59" s="740"/>
      <c r="F59" s="740"/>
      <c r="G59" s="740"/>
      <c r="H59" s="841"/>
      <c r="I59" s="841"/>
      <c r="J59" s="841"/>
      <c r="K59" s="841"/>
    </row>
    <row r="60" spans="1:11" x14ac:dyDescent="0.2">
      <c r="A60" s="627"/>
      <c r="B60" s="740"/>
      <c r="C60" s="740"/>
      <c r="D60" s="740"/>
      <c r="E60" s="740"/>
      <c r="F60" s="740"/>
      <c r="G60" s="740"/>
      <c r="H60" s="841"/>
      <c r="I60" s="841"/>
      <c r="J60" s="841"/>
      <c r="K60" s="841"/>
    </row>
    <row r="61" spans="1:11" x14ac:dyDescent="0.2">
      <c r="A61" s="627"/>
      <c r="B61" s="740"/>
      <c r="C61" s="740"/>
      <c r="D61" s="740"/>
      <c r="E61" s="740"/>
      <c r="F61" s="740"/>
      <c r="G61" s="740"/>
      <c r="H61" s="841"/>
      <c r="I61" s="841"/>
      <c r="J61" s="841"/>
      <c r="K61" s="841"/>
    </row>
    <row r="62" spans="1:11" x14ac:dyDescent="0.2">
      <c r="A62" s="627"/>
      <c r="B62" s="740"/>
      <c r="C62" s="740"/>
      <c r="D62" s="740"/>
      <c r="E62" s="740"/>
      <c r="F62" s="740"/>
      <c r="G62" s="740"/>
      <c r="H62" s="841"/>
      <c r="I62" s="841"/>
      <c r="J62" s="841"/>
      <c r="K62" s="841"/>
    </row>
    <row r="63" spans="1:11" x14ac:dyDescent="0.2">
      <c r="A63" s="627"/>
      <c r="B63" s="740"/>
      <c r="C63" s="740"/>
      <c r="D63" s="740"/>
      <c r="E63" s="740"/>
      <c r="F63" s="740"/>
      <c r="G63" s="740"/>
      <c r="H63" s="841"/>
      <c r="I63" s="841"/>
      <c r="J63" s="841"/>
      <c r="K63" s="841"/>
    </row>
    <row r="64" spans="1:11" x14ac:dyDescent="0.2">
      <c r="A64" s="627"/>
      <c r="B64" s="740"/>
      <c r="C64" s="740"/>
      <c r="D64" s="740"/>
      <c r="E64" s="740"/>
      <c r="F64" s="740"/>
      <c r="G64" s="740"/>
      <c r="H64" s="841"/>
      <c r="I64" s="841"/>
      <c r="J64" s="841"/>
      <c r="K64" s="841"/>
    </row>
    <row r="65" spans="1:11" x14ac:dyDescent="0.2">
      <c r="A65" s="627"/>
      <c r="B65" s="740"/>
      <c r="C65" s="740"/>
      <c r="D65" s="740"/>
      <c r="E65" s="740"/>
      <c r="F65" s="740"/>
      <c r="G65" s="740"/>
      <c r="H65" s="841"/>
      <c r="I65" s="841"/>
      <c r="J65" s="841"/>
      <c r="K65" s="841"/>
    </row>
    <row r="66" spans="1:11" x14ac:dyDescent="0.2">
      <c r="A66" s="627"/>
      <c r="B66" s="740"/>
      <c r="C66" s="740"/>
      <c r="D66" s="740"/>
      <c r="E66" s="740"/>
      <c r="F66" s="740"/>
      <c r="G66" s="740"/>
      <c r="H66" s="841"/>
      <c r="I66" s="841"/>
      <c r="J66" s="841"/>
      <c r="K66" s="841"/>
    </row>
    <row r="67" spans="1:11" x14ac:dyDescent="0.2">
      <c r="A67" s="627"/>
      <c r="B67" s="740"/>
      <c r="C67" s="740"/>
      <c r="D67" s="740"/>
      <c r="E67" s="740"/>
      <c r="F67" s="740"/>
      <c r="G67" s="740"/>
      <c r="H67" s="841"/>
      <c r="I67" s="841"/>
      <c r="J67" s="841"/>
      <c r="K67" s="841"/>
    </row>
    <row r="68" spans="1:11" x14ac:dyDescent="0.2">
      <c r="A68" s="627"/>
      <c r="B68" s="740"/>
      <c r="C68" s="740"/>
      <c r="D68" s="740"/>
      <c r="E68" s="740"/>
      <c r="F68" s="740"/>
      <c r="G68" s="740"/>
      <c r="H68" s="841"/>
      <c r="I68" s="841"/>
      <c r="J68" s="841"/>
      <c r="K68" s="841"/>
    </row>
    <row r="69" spans="1:11" x14ac:dyDescent="0.2">
      <c r="A69" s="627"/>
      <c r="B69" s="740"/>
      <c r="C69" s="740"/>
      <c r="D69" s="740"/>
      <c r="E69" s="740"/>
      <c r="F69" s="740"/>
      <c r="G69" s="740"/>
      <c r="H69" s="841"/>
      <c r="I69" s="841"/>
      <c r="J69" s="841"/>
      <c r="K69" s="841"/>
    </row>
    <row r="70" spans="1:11" x14ac:dyDescent="0.2">
      <c r="A70" s="627"/>
      <c r="B70" s="740"/>
      <c r="C70" s="740"/>
      <c r="D70" s="740"/>
      <c r="E70" s="740"/>
      <c r="F70" s="740"/>
      <c r="G70" s="740"/>
      <c r="H70" s="841"/>
      <c r="I70" s="841"/>
      <c r="J70" s="841"/>
      <c r="K70" s="841"/>
    </row>
    <row r="71" spans="1:11" x14ac:dyDescent="0.2">
      <c r="A71" s="627"/>
      <c r="B71" s="740"/>
      <c r="C71" s="740"/>
      <c r="D71" s="740"/>
      <c r="E71" s="740"/>
      <c r="F71" s="740"/>
      <c r="G71" s="740"/>
      <c r="H71" s="841"/>
      <c r="I71" s="841"/>
      <c r="J71" s="841"/>
      <c r="K71" s="841"/>
    </row>
    <row r="72" spans="1:11" x14ac:dyDescent="0.2">
      <c r="A72" s="627"/>
      <c r="B72" s="740"/>
      <c r="C72" s="740"/>
      <c r="D72" s="740"/>
      <c r="E72" s="740"/>
      <c r="F72" s="740"/>
      <c r="G72" s="740"/>
      <c r="H72" s="841"/>
      <c r="I72" s="841"/>
      <c r="J72" s="841"/>
      <c r="K72" s="841"/>
    </row>
    <row r="73" spans="1:11" x14ac:dyDescent="0.2">
      <c r="A73" s="627"/>
      <c r="B73" s="740"/>
      <c r="C73" s="740"/>
      <c r="D73" s="740"/>
      <c r="E73" s="740"/>
      <c r="F73" s="740"/>
      <c r="G73" s="740"/>
      <c r="H73" s="841"/>
      <c r="I73" s="841"/>
      <c r="J73" s="841"/>
      <c r="K73" s="841"/>
    </row>
    <row r="74" spans="1:11" x14ac:dyDescent="0.2">
      <c r="A74" s="627"/>
      <c r="B74" s="740"/>
      <c r="C74" s="740"/>
      <c r="D74" s="740"/>
      <c r="E74" s="740"/>
      <c r="F74" s="740"/>
      <c r="G74" s="740"/>
      <c r="H74" s="841"/>
      <c r="I74" s="841"/>
      <c r="J74" s="841"/>
      <c r="K74" s="841"/>
    </row>
    <row r="75" spans="1:11" x14ac:dyDescent="0.2">
      <c r="A75" s="627"/>
      <c r="B75" s="740"/>
      <c r="C75" s="740"/>
      <c r="D75" s="740"/>
      <c r="E75" s="740"/>
      <c r="F75" s="740"/>
      <c r="G75" s="740"/>
      <c r="H75" s="841"/>
      <c r="I75" s="841"/>
      <c r="J75" s="841"/>
      <c r="K75" s="841"/>
    </row>
    <row r="76" spans="1:11" x14ac:dyDescent="0.2">
      <c r="A76" s="627"/>
      <c r="B76" s="740"/>
      <c r="C76" s="740"/>
      <c r="D76" s="740"/>
      <c r="E76" s="740"/>
      <c r="F76" s="740"/>
      <c r="G76" s="740"/>
      <c r="H76" s="841"/>
      <c r="I76" s="841"/>
      <c r="J76" s="841"/>
      <c r="K76" s="841"/>
    </row>
    <row r="77" spans="1:11" x14ac:dyDescent="0.2">
      <c r="A77" s="627"/>
      <c r="B77" s="740"/>
      <c r="C77" s="740"/>
      <c r="D77" s="740"/>
      <c r="E77" s="740"/>
      <c r="F77" s="740"/>
      <c r="G77" s="740"/>
      <c r="H77" s="841"/>
      <c r="I77" s="841"/>
      <c r="J77" s="841"/>
      <c r="K77" s="841"/>
    </row>
    <row r="78" spans="1:11" x14ac:dyDescent="0.2">
      <c r="A78" s="627"/>
      <c r="B78" s="740"/>
      <c r="C78" s="740"/>
      <c r="D78" s="740"/>
      <c r="E78" s="740"/>
      <c r="F78" s="740"/>
      <c r="G78" s="740"/>
      <c r="H78" s="841"/>
      <c r="I78" s="841"/>
      <c r="J78" s="841"/>
      <c r="K78" s="841"/>
    </row>
    <row r="79" spans="1:11" x14ac:dyDescent="0.2">
      <c r="A79" s="627"/>
      <c r="B79" s="740"/>
      <c r="C79" s="740"/>
      <c r="D79" s="740"/>
      <c r="E79" s="740"/>
      <c r="F79" s="740"/>
      <c r="G79" s="740"/>
      <c r="H79" s="841"/>
      <c r="I79" s="841"/>
      <c r="J79" s="841"/>
      <c r="K79" s="841"/>
    </row>
    <row r="80" spans="1:11" x14ac:dyDescent="0.2">
      <c r="A80" s="627"/>
      <c r="B80" s="740"/>
      <c r="C80" s="740"/>
      <c r="D80" s="740"/>
      <c r="E80" s="740"/>
      <c r="F80" s="740"/>
      <c r="G80" s="740"/>
      <c r="H80" s="841"/>
      <c r="I80" s="841"/>
      <c r="J80" s="841"/>
      <c r="K80" s="841"/>
    </row>
    <row r="81" spans="1:13" x14ac:dyDescent="0.2">
      <c r="A81" s="627"/>
      <c r="B81" s="740"/>
      <c r="C81" s="740"/>
      <c r="D81" s="740"/>
      <c r="E81" s="740"/>
      <c r="F81" s="740"/>
      <c r="G81" s="740"/>
      <c r="H81" s="841"/>
      <c r="I81" s="841"/>
      <c r="J81" s="841"/>
      <c r="K81" s="841"/>
    </row>
    <row r="82" spans="1:13" x14ac:dyDescent="0.2">
      <c r="A82" s="627"/>
      <c r="B82" s="740"/>
      <c r="C82" s="740"/>
      <c r="D82" s="740"/>
      <c r="E82" s="740"/>
      <c r="F82" s="740"/>
      <c r="G82" s="740"/>
      <c r="H82" s="841"/>
      <c r="I82" s="841"/>
      <c r="J82" s="841"/>
      <c r="K82" s="841"/>
    </row>
    <row r="83" spans="1:13" x14ac:dyDescent="0.2">
      <c r="A83" s="627"/>
      <c r="B83" s="740"/>
      <c r="C83" s="740"/>
      <c r="D83" s="740"/>
      <c r="E83" s="740"/>
      <c r="F83" s="740"/>
      <c r="G83" s="740"/>
      <c r="H83" s="841"/>
      <c r="I83" s="841"/>
      <c r="J83" s="841"/>
      <c r="K83" s="841"/>
    </row>
    <row r="84" spans="1:13" x14ac:dyDescent="0.2">
      <c r="A84" s="627"/>
      <c r="B84" s="740"/>
      <c r="C84" s="740"/>
      <c r="D84" s="740"/>
      <c r="E84" s="740"/>
      <c r="F84" s="740"/>
      <c r="G84" s="740"/>
      <c r="H84" s="841"/>
      <c r="I84" s="841"/>
      <c r="J84" s="841"/>
      <c r="K84" s="841"/>
    </row>
    <row r="85" spans="1:13" x14ac:dyDescent="0.2">
      <c r="A85" s="627"/>
      <c r="B85" s="740"/>
      <c r="C85" s="740"/>
      <c r="D85" s="740"/>
      <c r="E85" s="740"/>
      <c r="F85" s="740"/>
      <c r="G85" s="740"/>
      <c r="H85" s="841"/>
      <c r="I85" s="841"/>
      <c r="J85" s="841"/>
      <c r="K85" s="841"/>
    </row>
    <row r="86" spans="1:13" x14ac:dyDescent="0.2">
      <c r="A86" s="627"/>
      <c r="B86" s="740"/>
      <c r="C86" s="740"/>
      <c r="D86" s="740"/>
      <c r="E86" s="740"/>
      <c r="F86" s="740"/>
      <c r="G86" s="740"/>
      <c r="H86" s="841"/>
      <c r="I86" s="841"/>
      <c r="J86" s="841"/>
      <c r="K86" s="841"/>
    </row>
    <row r="87" spans="1:13" x14ac:dyDescent="0.2">
      <c r="A87" s="627"/>
      <c r="B87" s="740"/>
      <c r="C87" s="740"/>
      <c r="D87" s="740"/>
      <c r="E87" s="740"/>
      <c r="F87" s="740"/>
      <c r="G87" s="740"/>
      <c r="H87" s="841"/>
      <c r="I87" s="841"/>
      <c r="J87" s="841"/>
      <c r="K87" s="841"/>
    </row>
    <row r="88" spans="1:13" x14ac:dyDescent="0.2">
      <c r="A88" s="627"/>
      <c r="B88" s="740"/>
      <c r="C88" s="740"/>
      <c r="D88" s="740"/>
      <c r="E88" s="740"/>
      <c r="F88" s="740"/>
      <c r="G88" s="740"/>
      <c r="H88" s="841"/>
      <c r="I88" s="841"/>
      <c r="J88" s="841"/>
      <c r="K88" s="841"/>
    </row>
    <row r="89" spans="1:13" x14ac:dyDescent="0.2">
      <c r="A89" s="627"/>
      <c r="B89" s="740"/>
      <c r="C89" s="740"/>
      <c r="D89" s="740"/>
      <c r="E89" s="740"/>
      <c r="F89" s="740"/>
      <c r="G89" s="740"/>
      <c r="H89" s="841"/>
      <c r="I89" s="841"/>
      <c r="J89" s="841"/>
      <c r="K89" s="841"/>
    </row>
    <row r="90" spans="1:13" x14ac:dyDescent="0.2">
      <c r="A90" s="627"/>
      <c r="B90" s="740"/>
      <c r="C90" s="740"/>
      <c r="D90" s="740"/>
      <c r="E90" s="740"/>
      <c r="F90" s="740"/>
      <c r="G90" s="740"/>
      <c r="H90" s="841"/>
      <c r="I90" s="841"/>
      <c r="J90" s="841"/>
      <c r="K90" s="841"/>
    </row>
    <row r="91" spans="1:13" x14ac:dyDescent="0.2">
      <c r="A91" s="627"/>
      <c r="B91" s="740"/>
      <c r="C91" s="740"/>
      <c r="D91" s="740"/>
      <c r="E91" s="740"/>
      <c r="F91" s="740"/>
      <c r="G91" s="740"/>
      <c r="H91" s="841"/>
      <c r="I91" s="841"/>
      <c r="J91" s="841"/>
      <c r="K91" s="841"/>
    </row>
    <row r="92" spans="1:13" x14ac:dyDescent="0.2">
      <c r="A92" s="627"/>
      <c r="B92" s="740"/>
      <c r="C92" s="740"/>
      <c r="D92" s="740"/>
      <c r="E92" s="740"/>
      <c r="F92" s="740"/>
      <c r="G92" s="740"/>
      <c r="H92" s="841"/>
      <c r="I92" s="841"/>
      <c r="J92" s="841"/>
      <c r="K92" s="841"/>
    </row>
    <row r="93" spans="1:13" x14ac:dyDescent="0.2">
      <c r="A93" s="627"/>
      <c r="B93" s="740"/>
      <c r="C93" s="740"/>
      <c r="D93" s="740"/>
      <c r="E93" s="740"/>
      <c r="F93" s="740"/>
      <c r="G93" s="740"/>
      <c r="H93" s="841"/>
      <c r="I93" s="841"/>
      <c r="J93" s="841"/>
      <c r="K93" s="841"/>
    </row>
    <row r="94" spans="1:13" x14ac:dyDescent="0.2">
      <c r="A94" s="627"/>
      <c r="B94" s="740"/>
      <c r="C94" s="740"/>
      <c r="D94" s="740"/>
      <c r="E94" s="740"/>
      <c r="F94" s="740"/>
      <c r="G94" s="740"/>
      <c r="H94" s="841"/>
      <c r="I94" s="841"/>
      <c r="J94" s="841"/>
      <c r="K94" s="841"/>
    </row>
    <row r="95" spans="1:13" ht="20.100000000000001" customHeight="1" x14ac:dyDescent="0.35">
      <c r="A95" s="1065" t="s">
        <v>1745</v>
      </c>
      <c r="B95" s="1065"/>
      <c r="C95" s="1065"/>
      <c r="D95" s="1065"/>
      <c r="E95" s="1065"/>
      <c r="F95" s="1065"/>
      <c r="G95" s="1065"/>
      <c r="H95" s="1065"/>
      <c r="I95" s="1065"/>
      <c r="J95" s="1065"/>
      <c r="K95" s="1065"/>
      <c r="L95" s="843"/>
      <c r="M95" s="843"/>
    </row>
    <row r="96" spans="1:13" ht="15.75" x14ac:dyDescent="0.25">
      <c r="A96" s="805"/>
      <c r="B96" s="806"/>
      <c r="C96" s="806"/>
      <c r="D96" s="806"/>
      <c r="E96" s="806"/>
      <c r="F96" s="806"/>
      <c r="G96" s="806"/>
      <c r="H96" s="806"/>
      <c r="I96" s="806"/>
      <c r="J96" s="806"/>
      <c r="K96" s="807"/>
    </row>
    <row r="97" spans="1:11" ht="15.75" x14ac:dyDescent="0.25">
      <c r="A97" s="1104" t="s">
        <v>638</v>
      </c>
      <c r="B97" s="1104"/>
      <c r="C97" s="1104"/>
      <c r="D97" s="1104"/>
      <c r="E97" s="1104"/>
      <c r="F97" s="1104"/>
      <c r="G97" s="1104"/>
      <c r="H97" s="1104"/>
      <c r="I97" s="1104"/>
      <c r="J97" s="1104"/>
      <c r="K97" s="1104"/>
    </row>
    <row r="98" spans="1:11" ht="15.75" x14ac:dyDescent="0.25">
      <c r="A98" s="1104" t="s">
        <v>364</v>
      </c>
      <c r="B98" s="1104"/>
      <c r="C98" s="1104"/>
      <c r="D98" s="1104"/>
      <c r="E98" s="1104"/>
      <c r="F98" s="1104"/>
      <c r="G98" s="1104"/>
      <c r="H98" s="1104"/>
      <c r="I98" s="1104"/>
      <c r="J98" s="1104"/>
      <c r="K98" s="1104"/>
    </row>
    <row r="99" spans="1:11" ht="15.75" x14ac:dyDescent="0.25">
      <c r="A99" s="909"/>
      <c r="B99" s="909"/>
      <c r="C99" s="909"/>
      <c r="D99" s="909"/>
      <c r="E99" s="909"/>
      <c r="F99" s="909"/>
      <c r="G99" s="909"/>
      <c r="H99" s="909"/>
      <c r="I99" s="909"/>
      <c r="J99" s="909"/>
      <c r="K99" s="909"/>
    </row>
    <row r="100" spans="1:11" ht="15.75" x14ac:dyDescent="0.25">
      <c r="A100" s="909"/>
      <c r="B100" s="909"/>
      <c r="C100" s="909"/>
      <c r="D100" s="909"/>
      <c r="E100" s="909"/>
      <c r="F100" s="909"/>
      <c r="G100" s="909"/>
      <c r="H100" s="909"/>
      <c r="I100" s="909"/>
      <c r="J100" s="909"/>
      <c r="K100" s="909"/>
    </row>
    <row r="101" spans="1:11" ht="16.5" thickBot="1" x14ac:dyDescent="0.3">
      <c r="A101" s="1104"/>
      <c r="B101" s="1104"/>
      <c r="C101" s="1104"/>
      <c r="D101" s="1104"/>
      <c r="E101" s="1104"/>
      <c r="F101" s="1104"/>
      <c r="G101" s="1104"/>
      <c r="H101" s="1104"/>
      <c r="I101" s="1104"/>
      <c r="J101" s="1104"/>
      <c r="K101" s="1104"/>
    </row>
    <row r="102" spans="1:11" x14ac:dyDescent="0.2">
      <c r="A102" s="819"/>
      <c r="B102" s="634"/>
      <c r="C102" s="904"/>
      <c r="D102" s="905"/>
      <c r="E102" s="906"/>
      <c r="F102" s="634"/>
      <c r="G102" s="634" t="s">
        <v>6</v>
      </c>
      <c r="H102" s="1105" t="s">
        <v>641</v>
      </c>
      <c r="I102" s="1106"/>
      <c r="J102" s="1107"/>
      <c r="K102" s="808" t="s">
        <v>7</v>
      </c>
    </row>
    <row r="103" spans="1:11" x14ac:dyDescent="0.2">
      <c r="A103" s="820" t="s">
        <v>849</v>
      </c>
      <c r="B103" s="636"/>
      <c r="C103" s="913"/>
      <c r="D103" s="903"/>
      <c r="E103" s="910"/>
      <c r="F103" s="636"/>
      <c r="G103" s="636">
        <v>2019</v>
      </c>
      <c r="H103" s="636" t="s">
        <v>580</v>
      </c>
      <c r="I103" s="636" t="s">
        <v>581</v>
      </c>
      <c r="J103" s="636">
        <v>2020</v>
      </c>
      <c r="K103" s="638">
        <v>2021</v>
      </c>
    </row>
    <row r="104" spans="1:11" x14ac:dyDescent="0.2">
      <c r="A104" s="820" t="s">
        <v>850</v>
      </c>
      <c r="B104" s="636" t="s">
        <v>639</v>
      </c>
      <c r="C104" s="1109" t="s">
        <v>640</v>
      </c>
      <c r="D104" s="1075"/>
      <c r="E104" s="1110"/>
      <c r="F104" s="636"/>
      <c r="G104" s="636" t="s">
        <v>952</v>
      </c>
      <c r="H104" s="636" t="s">
        <v>579</v>
      </c>
      <c r="I104" s="636" t="s">
        <v>582</v>
      </c>
      <c r="J104" s="636" t="s">
        <v>952</v>
      </c>
      <c r="K104" s="638" t="s">
        <v>952</v>
      </c>
    </row>
    <row r="105" spans="1:11" x14ac:dyDescent="0.2">
      <c r="A105" s="820" t="s">
        <v>4</v>
      </c>
      <c r="B105" s="636"/>
      <c r="C105" s="913"/>
      <c r="D105" s="903"/>
      <c r="E105" s="910"/>
      <c r="F105" s="636"/>
      <c r="G105" s="636" t="s">
        <v>579</v>
      </c>
      <c r="H105" s="636">
        <v>2020</v>
      </c>
      <c r="I105" s="636">
        <v>2020</v>
      </c>
      <c r="J105" s="636" t="s">
        <v>953</v>
      </c>
      <c r="K105" s="638" t="s">
        <v>584</v>
      </c>
    </row>
    <row r="106" spans="1:11" ht="13.5" thickBot="1" x14ac:dyDescent="0.25">
      <c r="A106" s="821"/>
      <c r="B106" s="644"/>
      <c r="C106" s="1111"/>
      <c r="D106" s="1077"/>
      <c r="E106" s="1112"/>
      <c r="F106" s="644"/>
      <c r="G106" s="644"/>
      <c r="H106" s="644"/>
      <c r="I106" s="644"/>
      <c r="J106" s="644"/>
      <c r="K106" s="646"/>
    </row>
    <row r="107" spans="1:11" x14ac:dyDescent="0.2">
      <c r="A107" s="749"/>
      <c r="B107" s="749"/>
      <c r="C107" s="822"/>
      <c r="D107" s="823"/>
      <c r="E107" s="824"/>
      <c r="F107" s="825"/>
      <c r="G107" s="826"/>
      <c r="H107" s="827"/>
      <c r="I107" s="827"/>
      <c r="J107" s="827"/>
      <c r="K107" s="827"/>
    </row>
    <row r="108" spans="1:11" ht="18" customHeight="1" x14ac:dyDescent="0.3">
      <c r="A108" s="828"/>
      <c r="B108" s="658"/>
      <c r="C108" s="829" t="s">
        <v>575</v>
      </c>
      <c r="D108" s="830"/>
      <c r="E108" s="831"/>
      <c r="F108" s="658">
        <v>6911</v>
      </c>
      <c r="G108" s="832">
        <f>8785023.57+540600.91+8131392.69</f>
        <v>17457017.170000002</v>
      </c>
      <c r="H108" s="736">
        <v>4516851.7300000004</v>
      </c>
      <c r="I108" s="736">
        <f>31028003.15-H108</f>
        <v>26511151.419999998</v>
      </c>
      <c r="J108" s="736">
        <f>I108+H108</f>
        <v>31028003.149999999</v>
      </c>
      <c r="K108" s="736">
        <v>33000000</v>
      </c>
    </row>
    <row r="109" spans="1:11" ht="18" customHeight="1" x14ac:dyDescent="0.3">
      <c r="A109" s="828"/>
      <c r="B109" s="658"/>
      <c r="C109" s="829" t="s">
        <v>277</v>
      </c>
      <c r="D109" s="830"/>
      <c r="E109" s="831"/>
      <c r="F109" s="658">
        <v>9998</v>
      </c>
      <c r="G109" s="832">
        <f>513640.62+3021389</f>
        <v>3535029.62</v>
      </c>
      <c r="H109" s="736">
        <v>7391908.6500000004</v>
      </c>
      <c r="I109" s="736">
        <f>8206399.8-H109</f>
        <v>814491.14999999944</v>
      </c>
      <c r="J109" s="736">
        <f t="shared" ref="J109:J149" si="1">I109+H109</f>
        <v>8206399.7999999998</v>
      </c>
      <c r="K109" s="736">
        <v>8705600</v>
      </c>
    </row>
    <row r="110" spans="1:11" s="818" customFormat="1" ht="18" customHeight="1" x14ac:dyDescent="0.3">
      <c r="A110" s="828"/>
      <c r="B110" s="658"/>
      <c r="C110" s="829" t="s">
        <v>576</v>
      </c>
      <c r="D110" s="830"/>
      <c r="E110" s="831"/>
      <c r="F110" s="658">
        <v>9995</v>
      </c>
      <c r="G110" s="832">
        <v>21000</v>
      </c>
      <c r="H110" s="736">
        <v>0</v>
      </c>
      <c r="I110" s="736">
        <f>21000-H110</f>
        <v>21000</v>
      </c>
      <c r="J110" s="736">
        <f t="shared" si="1"/>
        <v>21000</v>
      </c>
      <c r="K110" s="736">
        <v>21000</v>
      </c>
    </row>
    <row r="111" spans="1:11" ht="18" customHeight="1" x14ac:dyDescent="0.3">
      <c r="A111" s="828"/>
      <c r="B111" s="658"/>
      <c r="C111" s="829" t="s">
        <v>833</v>
      </c>
      <c r="D111" s="830"/>
      <c r="E111" s="831"/>
      <c r="F111" s="658" t="s">
        <v>417</v>
      </c>
      <c r="G111" s="832">
        <f>841046.93+145943+570000</f>
        <v>1556989.9300000002</v>
      </c>
      <c r="H111" s="736">
        <v>144953.70000000001</v>
      </c>
      <c r="I111" s="736">
        <f>1800000-H111</f>
        <v>1655046.3</v>
      </c>
      <c r="J111" s="736">
        <f t="shared" si="1"/>
        <v>1800000</v>
      </c>
      <c r="K111" s="736">
        <v>5526000</v>
      </c>
    </row>
    <row r="112" spans="1:11" ht="18" customHeight="1" x14ac:dyDescent="0.3">
      <c r="A112" s="828"/>
      <c r="B112" s="658"/>
      <c r="C112" s="829" t="s">
        <v>842</v>
      </c>
      <c r="D112" s="830"/>
      <c r="E112" s="831"/>
      <c r="F112" s="658" t="s">
        <v>416</v>
      </c>
      <c r="G112" s="832"/>
      <c r="H112" s="736"/>
      <c r="I112" s="736"/>
      <c r="J112" s="736"/>
      <c r="K112" s="736"/>
    </row>
    <row r="113" spans="1:12" ht="18" customHeight="1" x14ac:dyDescent="0.3">
      <c r="A113" s="828"/>
      <c r="B113" s="658"/>
      <c r="C113" s="829" t="s">
        <v>843</v>
      </c>
      <c r="D113" s="830"/>
      <c r="E113" s="831"/>
      <c r="F113" s="658" t="s">
        <v>418</v>
      </c>
      <c r="G113" s="832">
        <f>270512.5+990+34800</f>
        <v>306302.5</v>
      </c>
      <c r="H113" s="736">
        <v>126868</v>
      </c>
      <c r="I113" s="736">
        <f>317800-H113</f>
        <v>190932</v>
      </c>
      <c r="J113" s="736">
        <f t="shared" si="1"/>
        <v>317800</v>
      </c>
      <c r="K113" s="736">
        <v>317800</v>
      </c>
      <c r="L113" s="844"/>
    </row>
    <row r="114" spans="1:12" ht="18" customHeight="1" x14ac:dyDescent="0.3">
      <c r="A114" s="828"/>
      <c r="B114" s="658"/>
      <c r="C114" s="829" t="s">
        <v>844</v>
      </c>
      <c r="D114" s="830"/>
      <c r="E114" s="831"/>
      <c r="F114" s="658" t="s">
        <v>419</v>
      </c>
      <c r="G114" s="832">
        <v>63730</v>
      </c>
      <c r="H114" s="736">
        <v>52363.64</v>
      </c>
      <c r="I114" s="736">
        <f>130000-H114</f>
        <v>77636.36</v>
      </c>
      <c r="J114" s="736">
        <f t="shared" si="1"/>
        <v>130000</v>
      </c>
      <c r="K114" s="736">
        <v>130000</v>
      </c>
    </row>
    <row r="115" spans="1:12" ht="18" customHeight="1" x14ac:dyDescent="0.3">
      <c r="A115" s="828"/>
      <c r="B115" s="658"/>
      <c r="C115" s="829" t="s">
        <v>845</v>
      </c>
      <c r="D115" s="830"/>
      <c r="E115" s="831"/>
      <c r="F115" s="658" t="s">
        <v>420</v>
      </c>
      <c r="G115" s="832">
        <v>196713</v>
      </c>
      <c r="H115" s="736">
        <v>116500</v>
      </c>
      <c r="I115" s="736">
        <f>292067.75-H115</f>
        <v>175567.75</v>
      </c>
      <c r="J115" s="736">
        <f t="shared" si="1"/>
        <v>292067.75</v>
      </c>
      <c r="K115" s="736">
        <v>300000</v>
      </c>
    </row>
    <row r="116" spans="1:12" ht="18" customHeight="1" x14ac:dyDescent="0.3">
      <c r="A116" s="828"/>
      <c r="B116" s="658"/>
      <c r="C116" s="829" t="s">
        <v>846</v>
      </c>
      <c r="D116" s="830"/>
      <c r="E116" s="831"/>
      <c r="F116" s="658" t="s">
        <v>421</v>
      </c>
      <c r="G116" s="832">
        <v>490393.64</v>
      </c>
      <c r="H116" s="736">
        <v>29000</v>
      </c>
      <c r="I116" s="736">
        <f>810512.21-H116</f>
        <v>781512.21</v>
      </c>
      <c r="J116" s="736">
        <f t="shared" si="1"/>
        <v>810512.21</v>
      </c>
      <c r="K116" s="736">
        <v>902200</v>
      </c>
      <c r="L116" s="844"/>
    </row>
    <row r="117" spans="1:12" ht="18" customHeight="1" x14ac:dyDescent="0.3">
      <c r="A117" s="828"/>
      <c r="B117" s="658"/>
      <c r="C117" s="829" t="s">
        <v>894</v>
      </c>
      <c r="D117" s="830"/>
      <c r="E117" s="831"/>
      <c r="F117" s="658" t="s">
        <v>422</v>
      </c>
      <c r="G117" s="832">
        <f>760376+299659.3</f>
        <v>1060035.3</v>
      </c>
      <c r="H117" s="736">
        <v>92674.880000000005</v>
      </c>
      <c r="I117" s="736">
        <f>1550379.96-H117</f>
        <v>1457705.08</v>
      </c>
      <c r="J117" s="736">
        <f t="shared" si="1"/>
        <v>1550379.96</v>
      </c>
      <c r="K117" s="736">
        <v>1650000</v>
      </c>
    </row>
    <row r="118" spans="1:12" ht="18" customHeight="1" x14ac:dyDescent="0.3">
      <c r="A118" s="828"/>
      <c r="B118" s="658"/>
      <c r="C118" s="829" t="s">
        <v>847</v>
      </c>
      <c r="D118" s="830"/>
      <c r="E118" s="831"/>
      <c r="F118" s="658" t="s">
        <v>34</v>
      </c>
      <c r="G118" s="832">
        <v>5700000</v>
      </c>
      <c r="H118" s="736">
        <v>3246169</v>
      </c>
      <c r="I118" s="736">
        <f>4300000-H118</f>
        <v>1053831</v>
      </c>
      <c r="J118" s="736">
        <f t="shared" si="1"/>
        <v>4300000</v>
      </c>
      <c r="K118" s="736">
        <v>5000000</v>
      </c>
    </row>
    <row r="119" spans="1:12" ht="18" customHeight="1" x14ac:dyDescent="0.3">
      <c r="A119" s="828"/>
      <c r="B119" s="658"/>
      <c r="C119" s="829" t="s">
        <v>829</v>
      </c>
      <c r="D119" s="830"/>
      <c r="E119" s="831"/>
      <c r="F119" s="658">
        <v>6544</v>
      </c>
      <c r="G119" s="832">
        <v>2900000</v>
      </c>
      <c r="H119" s="736">
        <v>2954033</v>
      </c>
      <c r="I119" s="736">
        <f>6000000-H119</f>
        <v>3045967</v>
      </c>
      <c r="J119" s="736">
        <f t="shared" si="1"/>
        <v>6000000</v>
      </c>
      <c r="K119" s="736">
        <v>6000000</v>
      </c>
    </row>
    <row r="120" spans="1:12" ht="18" customHeight="1" x14ac:dyDescent="0.3">
      <c r="A120" s="828"/>
      <c r="B120" s="658"/>
      <c r="C120" s="829" t="s">
        <v>961</v>
      </c>
      <c r="D120" s="830"/>
      <c r="E120" s="831"/>
      <c r="F120" s="658">
        <v>8821</v>
      </c>
      <c r="G120" s="832">
        <f>2171780.39+140250.07</f>
        <v>2312030.46</v>
      </c>
      <c r="H120" s="736">
        <v>1172157.47</v>
      </c>
      <c r="I120" s="736">
        <f>3617111.33-H120</f>
        <v>2444953.8600000003</v>
      </c>
      <c r="J120" s="736">
        <f t="shared" si="1"/>
        <v>3617111.33</v>
      </c>
      <c r="K120" s="736">
        <v>3500000</v>
      </c>
    </row>
    <row r="121" spans="1:12" ht="18" customHeight="1" x14ac:dyDescent="0.3">
      <c r="A121" s="828"/>
      <c r="B121" s="658"/>
      <c r="C121" s="829" t="s">
        <v>830</v>
      </c>
      <c r="D121" s="830"/>
      <c r="E121" s="831"/>
      <c r="F121" s="658">
        <v>8801</v>
      </c>
      <c r="G121" s="832">
        <v>343302.9</v>
      </c>
      <c r="H121" s="736">
        <v>0</v>
      </c>
      <c r="I121" s="736">
        <f>500000-H121</f>
        <v>500000</v>
      </c>
      <c r="J121" s="736">
        <f t="shared" si="1"/>
        <v>500000</v>
      </c>
      <c r="K121" s="736">
        <v>500000</v>
      </c>
    </row>
    <row r="122" spans="1:12" ht="18" customHeight="1" x14ac:dyDescent="0.3">
      <c r="A122" s="828"/>
      <c r="B122" s="658"/>
      <c r="C122" s="829" t="s">
        <v>852</v>
      </c>
      <c r="D122" s="830"/>
      <c r="E122" s="831"/>
      <c r="F122" s="658">
        <v>8771</v>
      </c>
      <c r="G122" s="832">
        <v>743805.5</v>
      </c>
      <c r="H122" s="736">
        <v>260232.5</v>
      </c>
      <c r="I122" s="736">
        <f>1050000-H122</f>
        <v>789767.5</v>
      </c>
      <c r="J122" s="736">
        <f t="shared" si="1"/>
        <v>1050000</v>
      </c>
      <c r="K122" s="736">
        <v>1050000</v>
      </c>
    </row>
    <row r="123" spans="1:12" ht="18" customHeight="1" x14ac:dyDescent="0.3">
      <c r="A123" s="828"/>
      <c r="B123" s="658"/>
      <c r="C123" s="829" t="s">
        <v>383</v>
      </c>
      <c r="D123" s="830"/>
      <c r="E123" s="831"/>
      <c r="F123" s="658">
        <v>8781</v>
      </c>
      <c r="G123" s="832">
        <v>3634659.35</v>
      </c>
      <c r="H123" s="736">
        <v>1392716.02</v>
      </c>
      <c r="I123" s="736">
        <f>3800000-H123</f>
        <v>2407283.98</v>
      </c>
      <c r="J123" s="736">
        <f t="shared" si="1"/>
        <v>3800000</v>
      </c>
      <c r="K123" s="736">
        <v>3800000</v>
      </c>
    </row>
    <row r="124" spans="1:12" ht="18" customHeight="1" x14ac:dyDescent="0.3">
      <c r="A124" s="828"/>
      <c r="B124" s="658"/>
      <c r="C124" s="829" t="s">
        <v>853</v>
      </c>
      <c r="D124" s="830"/>
      <c r="E124" s="831"/>
      <c r="F124" s="658">
        <v>8791</v>
      </c>
      <c r="G124" s="832">
        <v>391919.12</v>
      </c>
      <c r="H124" s="736">
        <v>260157.32</v>
      </c>
      <c r="I124" s="736">
        <f>700000-H124</f>
        <v>439842.68</v>
      </c>
      <c r="J124" s="736">
        <f t="shared" si="1"/>
        <v>700000</v>
      </c>
      <c r="K124" s="736">
        <v>700000</v>
      </c>
    </row>
    <row r="125" spans="1:12" ht="18" customHeight="1" x14ac:dyDescent="0.3">
      <c r="A125" s="828"/>
      <c r="B125" s="658"/>
      <c r="C125" s="829" t="s">
        <v>831</v>
      </c>
      <c r="D125" s="830"/>
      <c r="E125" s="831"/>
      <c r="F125" s="658" t="s">
        <v>35</v>
      </c>
      <c r="G125" s="832">
        <v>408192.1</v>
      </c>
      <c r="H125" s="736">
        <v>152675</v>
      </c>
      <c r="I125" s="736">
        <f>500000-H125</f>
        <v>347325</v>
      </c>
      <c r="J125" s="736">
        <f t="shared" si="1"/>
        <v>500000</v>
      </c>
      <c r="K125" s="736">
        <v>500000</v>
      </c>
    </row>
    <row r="126" spans="1:12" ht="18" customHeight="1" x14ac:dyDescent="0.3">
      <c r="A126" s="828"/>
      <c r="B126" s="658"/>
      <c r="C126" s="829" t="s">
        <v>832</v>
      </c>
      <c r="D126" s="830"/>
      <c r="E126" s="831"/>
      <c r="F126" s="658" t="s">
        <v>36</v>
      </c>
      <c r="G126" s="832">
        <v>434426</v>
      </c>
      <c r="H126" s="736">
        <v>0</v>
      </c>
      <c r="I126" s="736">
        <f>600000-H126</f>
        <v>600000</v>
      </c>
      <c r="J126" s="736">
        <f t="shared" si="1"/>
        <v>600000</v>
      </c>
      <c r="K126" s="736">
        <v>600000</v>
      </c>
    </row>
    <row r="127" spans="1:12" ht="18" customHeight="1" x14ac:dyDescent="0.3">
      <c r="A127" s="828"/>
      <c r="B127" s="658"/>
      <c r="C127" s="829" t="s">
        <v>898</v>
      </c>
      <c r="D127" s="830"/>
      <c r="E127" s="831"/>
      <c r="F127" s="658" t="s">
        <v>899</v>
      </c>
      <c r="G127" s="832">
        <v>0</v>
      </c>
      <c r="H127" s="736">
        <v>0</v>
      </c>
      <c r="I127" s="736">
        <f>120000-H127</f>
        <v>120000</v>
      </c>
      <c r="J127" s="736">
        <f t="shared" si="1"/>
        <v>120000</v>
      </c>
      <c r="K127" s="736">
        <v>120000</v>
      </c>
    </row>
    <row r="128" spans="1:12" ht="18" customHeight="1" x14ac:dyDescent="0.3">
      <c r="A128" s="828"/>
      <c r="B128" s="658"/>
      <c r="C128" s="829" t="s">
        <v>838</v>
      </c>
      <c r="D128" s="830"/>
      <c r="E128" s="831"/>
      <c r="F128" s="658" t="s">
        <v>423</v>
      </c>
      <c r="G128" s="832">
        <v>496743</v>
      </c>
      <c r="H128" s="736">
        <v>0</v>
      </c>
      <c r="I128" s="736">
        <f>800000-H128</f>
        <v>800000</v>
      </c>
      <c r="J128" s="736">
        <f t="shared" si="1"/>
        <v>800000</v>
      </c>
      <c r="K128" s="736">
        <v>800000</v>
      </c>
    </row>
    <row r="129" spans="1:11" ht="18" customHeight="1" x14ac:dyDescent="0.3">
      <c r="A129" s="828"/>
      <c r="B129" s="658"/>
      <c r="C129" s="829" t="s">
        <v>848</v>
      </c>
      <c r="D129" s="830"/>
      <c r="E129" s="831"/>
      <c r="F129" s="658" t="s">
        <v>37</v>
      </c>
      <c r="G129" s="832">
        <v>134393</v>
      </c>
      <c r="H129" s="736">
        <v>71000</v>
      </c>
      <c r="I129" s="736">
        <f>400000-H129</f>
        <v>329000</v>
      </c>
      <c r="J129" s="736">
        <f t="shared" si="1"/>
        <v>400000</v>
      </c>
      <c r="K129" s="736">
        <v>400000</v>
      </c>
    </row>
    <row r="130" spans="1:11" ht="18" customHeight="1" x14ac:dyDescent="0.3">
      <c r="A130" s="828"/>
      <c r="B130" s="658"/>
      <c r="C130" s="829" t="s">
        <v>839</v>
      </c>
      <c r="D130" s="830"/>
      <c r="E130" s="831"/>
      <c r="F130" s="658" t="s">
        <v>38</v>
      </c>
      <c r="G130" s="832">
        <v>0</v>
      </c>
      <c r="H130" s="736">
        <v>0</v>
      </c>
      <c r="I130" s="736">
        <f>120000-H130</f>
        <v>120000</v>
      </c>
      <c r="J130" s="736">
        <f t="shared" si="1"/>
        <v>120000</v>
      </c>
      <c r="K130" s="736">
        <v>120000</v>
      </c>
    </row>
    <row r="131" spans="1:11" ht="18" customHeight="1" x14ac:dyDescent="0.3">
      <c r="A131" s="828"/>
      <c r="B131" s="658"/>
      <c r="C131" s="829" t="s">
        <v>840</v>
      </c>
      <c r="D131" s="830"/>
      <c r="E131" s="831"/>
      <c r="F131" s="658" t="s">
        <v>39</v>
      </c>
      <c r="G131" s="832">
        <v>296392.09999999998</v>
      </c>
      <c r="H131" s="736">
        <v>0</v>
      </c>
      <c r="I131" s="736">
        <f>300000-H131</f>
        <v>300000</v>
      </c>
      <c r="J131" s="736">
        <f t="shared" si="1"/>
        <v>300000</v>
      </c>
      <c r="K131" s="736">
        <v>300000</v>
      </c>
    </row>
    <row r="132" spans="1:11" ht="18" customHeight="1" x14ac:dyDescent="0.3">
      <c r="A132" s="828"/>
      <c r="B132" s="658"/>
      <c r="C132" s="829" t="s">
        <v>841</v>
      </c>
      <c r="D132" s="830"/>
      <c r="E132" s="831"/>
      <c r="F132" s="658" t="s">
        <v>40</v>
      </c>
      <c r="G132" s="832">
        <f>432325.5+40479</f>
        <v>472804.5</v>
      </c>
      <c r="H132" s="736">
        <v>207725</v>
      </c>
      <c r="I132" s="736">
        <f>550000-H132</f>
        <v>342275</v>
      </c>
      <c r="J132" s="736">
        <f t="shared" si="1"/>
        <v>550000</v>
      </c>
      <c r="K132" s="736">
        <v>550000</v>
      </c>
    </row>
    <row r="133" spans="1:11" ht="18" customHeight="1" x14ac:dyDescent="0.3">
      <c r="A133" s="828"/>
      <c r="B133" s="658"/>
      <c r="C133" s="829" t="s">
        <v>837</v>
      </c>
      <c r="D133" s="830"/>
      <c r="E133" s="831"/>
      <c r="F133" s="658" t="s">
        <v>41</v>
      </c>
      <c r="G133" s="832">
        <v>24000</v>
      </c>
      <c r="H133" s="736">
        <v>0</v>
      </c>
      <c r="I133" s="736">
        <f>24000-H133</f>
        <v>24000</v>
      </c>
      <c r="J133" s="736">
        <f t="shared" si="1"/>
        <v>24000</v>
      </c>
      <c r="K133" s="736">
        <v>24000</v>
      </c>
    </row>
    <row r="134" spans="1:11" ht="18" customHeight="1" x14ac:dyDescent="0.3">
      <c r="A134" s="828"/>
      <c r="B134" s="658"/>
      <c r="C134" s="829" t="s">
        <v>834</v>
      </c>
      <c r="D134" s="830"/>
      <c r="E134" s="831"/>
      <c r="F134" s="658" t="s">
        <v>42</v>
      </c>
      <c r="G134" s="832">
        <v>176839.5</v>
      </c>
      <c r="H134" s="736">
        <v>0</v>
      </c>
      <c r="I134" s="736">
        <f>400000-H134</f>
        <v>400000</v>
      </c>
      <c r="J134" s="736">
        <f t="shared" si="1"/>
        <v>400000</v>
      </c>
      <c r="K134" s="736">
        <v>400000</v>
      </c>
    </row>
    <row r="135" spans="1:11" ht="18" customHeight="1" x14ac:dyDescent="0.3">
      <c r="A135" s="828"/>
      <c r="B135" s="658"/>
      <c r="C135" s="829" t="s">
        <v>835</v>
      </c>
      <c r="D135" s="830"/>
      <c r="E135" s="831"/>
      <c r="F135" s="658" t="s">
        <v>227</v>
      </c>
      <c r="G135" s="832">
        <f>143544+20000+54000</f>
        <v>217544</v>
      </c>
      <c r="H135" s="736">
        <v>0</v>
      </c>
      <c r="I135" s="736">
        <f>250000-H135</f>
        <v>250000</v>
      </c>
      <c r="J135" s="736">
        <f t="shared" si="1"/>
        <v>250000</v>
      </c>
      <c r="K135" s="736">
        <v>250000</v>
      </c>
    </row>
    <row r="136" spans="1:11" ht="18" customHeight="1" x14ac:dyDescent="0.3">
      <c r="A136" s="828"/>
      <c r="B136" s="658"/>
      <c r="C136" s="829" t="s">
        <v>836</v>
      </c>
      <c r="D136" s="830"/>
      <c r="E136" s="831"/>
      <c r="F136" s="658" t="s">
        <v>228</v>
      </c>
      <c r="G136" s="832">
        <f>236850+10000</f>
        <v>246850</v>
      </c>
      <c r="H136" s="736">
        <v>20450</v>
      </c>
      <c r="I136" s="736">
        <f>250000-H136</f>
        <v>229550</v>
      </c>
      <c r="J136" s="736">
        <f t="shared" si="1"/>
        <v>250000</v>
      </c>
      <c r="K136" s="736">
        <v>250000</v>
      </c>
    </row>
    <row r="137" spans="1:11" ht="18" customHeight="1" x14ac:dyDescent="0.3">
      <c r="A137" s="828"/>
      <c r="B137" s="658"/>
      <c r="C137" s="829" t="s">
        <v>889</v>
      </c>
      <c r="D137" s="830"/>
      <c r="E137" s="831"/>
      <c r="F137" s="658" t="s">
        <v>424</v>
      </c>
      <c r="G137" s="832">
        <f>1318286.98+72903</f>
        <v>1391189.98</v>
      </c>
      <c r="H137" s="736">
        <f>111700+74100</f>
        <v>185800</v>
      </c>
      <c r="I137" s="736">
        <f>2000000-H137</f>
        <v>1814200</v>
      </c>
      <c r="J137" s="736">
        <f t="shared" si="1"/>
        <v>2000000</v>
      </c>
      <c r="K137" s="736">
        <v>1950000</v>
      </c>
    </row>
    <row r="138" spans="1:11" ht="18" customHeight="1" x14ac:dyDescent="0.3">
      <c r="A138" s="828"/>
      <c r="B138" s="658"/>
      <c r="C138" s="829" t="s">
        <v>381</v>
      </c>
      <c r="D138" s="830"/>
      <c r="E138" s="831"/>
      <c r="F138" s="658" t="s">
        <v>425</v>
      </c>
      <c r="G138" s="832">
        <v>101768.26</v>
      </c>
      <c r="H138" s="736">
        <v>0</v>
      </c>
      <c r="I138" s="736">
        <f>110000-H138</f>
        <v>110000</v>
      </c>
      <c r="J138" s="736">
        <f t="shared" si="1"/>
        <v>110000</v>
      </c>
      <c r="K138" s="736">
        <v>110000</v>
      </c>
    </row>
    <row r="139" spans="1:11" ht="18" customHeight="1" x14ac:dyDescent="0.3">
      <c r="A139" s="828"/>
      <c r="B139" s="658"/>
      <c r="C139" s="829" t="s">
        <v>1580</v>
      </c>
      <c r="D139" s="830"/>
      <c r="E139" s="831"/>
      <c r="F139" s="658" t="s">
        <v>229</v>
      </c>
      <c r="G139" s="832">
        <v>71400</v>
      </c>
      <c r="H139" s="736">
        <v>0</v>
      </c>
      <c r="I139" s="736">
        <v>0</v>
      </c>
      <c r="J139" s="736">
        <f t="shared" si="1"/>
        <v>0</v>
      </c>
      <c r="K139" s="736">
        <v>0</v>
      </c>
    </row>
    <row r="140" spans="1:11" ht="18" customHeight="1" x14ac:dyDescent="0.3">
      <c r="A140" s="828"/>
      <c r="B140" s="658"/>
      <c r="C140" s="829" t="s">
        <v>1581</v>
      </c>
      <c r="D140" s="830"/>
      <c r="E140" s="831"/>
      <c r="F140" s="658" t="s">
        <v>267</v>
      </c>
      <c r="G140" s="832">
        <v>400000</v>
      </c>
      <c r="H140" s="736">
        <v>0</v>
      </c>
      <c r="I140" s="736">
        <v>0</v>
      </c>
      <c r="J140" s="736">
        <f t="shared" si="1"/>
        <v>0</v>
      </c>
      <c r="K140" s="736">
        <v>0</v>
      </c>
    </row>
    <row r="141" spans="1:11" ht="18" customHeight="1" x14ac:dyDescent="0.3">
      <c r="A141" s="828"/>
      <c r="B141" s="658"/>
      <c r="C141" s="829" t="s">
        <v>1582</v>
      </c>
      <c r="D141" s="830"/>
      <c r="E141" s="831"/>
      <c r="F141" s="658" t="s">
        <v>268</v>
      </c>
      <c r="G141" s="832">
        <v>2125965.92</v>
      </c>
      <c r="H141" s="736">
        <v>0</v>
      </c>
      <c r="I141" s="736">
        <v>0</v>
      </c>
      <c r="J141" s="736">
        <f t="shared" si="1"/>
        <v>0</v>
      </c>
      <c r="K141" s="736">
        <v>0</v>
      </c>
    </row>
    <row r="142" spans="1:11" ht="18" customHeight="1" x14ac:dyDescent="0.3">
      <c r="A142" s="828"/>
      <c r="B142" s="658"/>
      <c r="C142" s="829" t="s">
        <v>1583</v>
      </c>
      <c r="D142" s="830"/>
      <c r="E142" s="831"/>
      <c r="F142" s="658" t="s">
        <v>272</v>
      </c>
      <c r="G142" s="832">
        <v>299552.40000000002</v>
      </c>
      <c r="H142" s="736">
        <v>0</v>
      </c>
      <c r="I142" s="736">
        <v>0</v>
      </c>
      <c r="J142" s="736">
        <f t="shared" si="1"/>
        <v>0</v>
      </c>
      <c r="K142" s="736">
        <v>0</v>
      </c>
    </row>
    <row r="143" spans="1:11" ht="18" customHeight="1" x14ac:dyDescent="0.3">
      <c r="A143" s="828"/>
      <c r="B143" s="658"/>
      <c r="C143" s="829" t="s">
        <v>1584</v>
      </c>
      <c r="D143" s="830"/>
      <c r="E143" s="831"/>
      <c r="F143" s="658" t="s">
        <v>981</v>
      </c>
      <c r="G143" s="832">
        <v>299079.90000000002</v>
      </c>
      <c r="H143" s="736">
        <v>0</v>
      </c>
      <c r="I143" s="736">
        <v>0</v>
      </c>
      <c r="J143" s="736">
        <f t="shared" si="1"/>
        <v>0</v>
      </c>
      <c r="K143" s="736">
        <v>0</v>
      </c>
    </row>
    <row r="144" spans="1:11" ht="18" customHeight="1" x14ac:dyDescent="0.3">
      <c r="A144" s="828"/>
      <c r="B144" s="658"/>
      <c r="C144" s="829" t="s">
        <v>1585</v>
      </c>
      <c r="D144" s="830"/>
      <c r="E144" s="831"/>
      <c r="F144" s="658" t="s">
        <v>679</v>
      </c>
      <c r="G144" s="832">
        <v>698651.1</v>
      </c>
      <c r="H144" s="736">
        <v>0</v>
      </c>
      <c r="I144" s="736">
        <v>0</v>
      </c>
      <c r="J144" s="736">
        <f t="shared" si="1"/>
        <v>0</v>
      </c>
      <c r="K144" s="736">
        <v>0</v>
      </c>
    </row>
    <row r="145" spans="1:11" ht="36.75" customHeight="1" x14ac:dyDescent="0.3">
      <c r="A145" s="828"/>
      <c r="B145" s="658"/>
      <c r="C145" s="1116" t="s">
        <v>1586</v>
      </c>
      <c r="D145" s="1117"/>
      <c r="E145" s="1118"/>
      <c r="F145" s="658" t="s">
        <v>680</v>
      </c>
      <c r="G145" s="832">
        <v>298792.67</v>
      </c>
      <c r="H145" s="736">
        <v>0</v>
      </c>
      <c r="I145" s="736">
        <v>0</v>
      </c>
      <c r="J145" s="736">
        <f t="shared" si="1"/>
        <v>0</v>
      </c>
      <c r="K145" s="736">
        <v>0</v>
      </c>
    </row>
    <row r="146" spans="1:11" ht="35.25" customHeight="1" x14ac:dyDescent="0.3">
      <c r="A146" s="828"/>
      <c r="B146" s="658"/>
      <c r="C146" s="1116" t="s">
        <v>1587</v>
      </c>
      <c r="D146" s="1117"/>
      <c r="E146" s="1117"/>
      <c r="F146" s="658" t="s">
        <v>681</v>
      </c>
      <c r="G146" s="832">
        <v>748114.04</v>
      </c>
      <c r="H146" s="736">
        <v>0</v>
      </c>
      <c r="I146" s="736">
        <v>0</v>
      </c>
      <c r="J146" s="736">
        <f t="shared" si="1"/>
        <v>0</v>
      </c>
      <c r="K146" s="736">
        <v>0</v>
      </c>
    </row>
    <row r="147" spans="1:11" ht="36" customHeight="1" x14ac:dyDescent="0.3">
      <c r="A147" s="828"/>
      <c r="B147" s="658"/>
      <c r="C147" s="1116" t="s">
        <v>1588</v>
      </c>
      <c r="D147" s="1117"/>
      <c r="E147" s="1117"/>
      <c r="F147" s="658" t="s">
        <v>982</v>
      </c>
      <c r="G147" s="832">
        <v>498823.72</v>
      </c>
      <c r="H147" s="736">
        <v>0</v>
      </c>
      <c r="I147" s="736">
        <v>0</v>
      </c>
      <c r="J147" s="736">
        <f t="shared" si="1"/>
        <v>0</v>
      </c>
      <c r="K147" s="736">
        <v>0</v>
      </c>
    </row>
    <row r="148" spans="1:11" ht="18" customHeight="1" x14ac:dyDescent="0.3">
      <c r="A148" s="828"/>
      <c r="B148" s="658"/>
      <c r="C148" s="829" t="s">
        <v>1589</v>
      </c>
      <c r="D148" s="830"/>
      <c r="E148" s="831"/>
      <c r="F148" s="658" t="s">
        <v>1543</v>
      </c>
      <c r="G148" s="832">
        <v>199934</v>
      </c>
      <c r="H148" s="736">
        <v>0</v>
      </c>
      <c r="I148" s="736">
        <v>0</v>
      </c>
      <c r="J148" s="736">
        <f t="shared" si="1"/>
        <v>0</v>
      </c>
      <c r="K148" s="736">
        <v>0</v>
      </c>
    </row>
    <row r="149" spans="1:11" ht="37.5" customHeight="1" x14ac:dyDescent="0.3">
      <c r="A149" s="828"/>
      <c r="B149" s="658"/>
      <c r="C149" s="1116" t="s">
        <v>1590</v>
      </c>
      <c r="D149" s="1117"/>
      <c r="E149" s="1117"/>
      <c r="F149" s="658" t="s">
        <v>1544</v>
      </c>
      <c r="G149" s="832">
        <v>389760.82</v>
      </c>
      <c r="H149" s="736">
        <v>0</v>
      </c>
      <c r="I149" s="736">
        <v>0</v>
      </c>
      <c r="J149" s="736">
        <f t="shared" si="1"/>
        <v>0</v>
      </c>
      <c r="K149" s="736">
        <v>0</v>
      </c>
    </row>
    <row r="150" spans="1:11" ht="21" customHeight="1" x14ac:dyDescent="0.3">
      <c r="A150" s="828"/>
      <c r="B150" s="658"/>
      <c r="C150" s="829" t="s">
        <v>1565</v>
      </c>
      <c r="D150" s="830"/>
      <c r="E150" s="831"/>
      <c r="F150" s="658" t="s">
        <v>1545</v>
      </c>
      <c r="G150" s="832">
        <v>0</v>
      </c>
      <c r="H150" s="736">
        <v>0</v>
      </c>
      <c r="I150" s="736">
        <f>200000-H150</f>
        <v>200000</v>
      </c>
      <c r="J150" s="736">
        <f t="shared" ref="J150:J163" si="2">I150+H150</f>
        <v>200000</v>
      </c>
      <c r="K150" s="736">
        <v>0</v>
      </c>
    </row>
    <row r="151" spans="1:11" ht="18" customHeight="1" x14ac:dyDescent="0.3">
      <c r="A151" s="828"/>
      <c r="B151" s="658"/>
      <c r="C151" s="829" t="s">
        <v>1566</v>
      </c>
      <c r="D151" s="830"/>
      <c r="E151" s="831"/>
      <c r="F151" s="658" t="s">
        <v>1546</v>
      </c>
      <c r="G151" s="832">
        <v>0</v>
      </c>
      <c r="H151" s="736">
        <v>0</v>
      </c>
      <c r="I151" s="736">
        <f>1000000-H151</f>
        <v>1000000</v>
      </c>
      <c r="J151" s="736">
        <f t="shared" si="2"/>
        <v>1000000</v>
      </c>
      <c r="K151" s="736">
        <v>0</v>
      </c>
    </row>
    <row r="152" spans="1:11" ht="35.25" customHeight="1" x14ac:dyDescent="0.3">
      <c r="A152" s="828"/>
      <c r="B152" s="658"/>
      <c r="C152" s="1116" t="s">
        <v>1567</v>
      </c>
      <c r="D152" s="1117"/>
      <c r="E152" s="1117"/>
      <c r="F152" s="658" t="s">
        <v>1547</v>
      </c>
      <c r="G152" s="832">
        <v>0</v>
      </c>
      <c r="H152" s="736">
        <v>0</v>
      </c>
      <c r="I152" s="736">
        <f>90000-H152</f>
        <v>90000</v>
      </c>
      <c r="J152" s="736">
        <f t="shared" si="2"/>
        <v>90000</v>
      </c>
      <c r="K152" s="736">
        <v>0</v>
      </c>
    </row>
    <row r="153" spans="1:11" ht="18" customHeight="1" x14ac:dyDescent="0.3">
      <c r="A153" s="828"/>
      <c r="B153" s="658"/>
      <c r="C153" s="829" t="s">
        <v>1568</v>
      </c>
      <c r="D153" s="830"/>
      <c r="E153" s="831"/>
      <c r="F153" s="658" t="s">
        <v>1591</v>
      </c>
      <c r="G153" s="832">
        <v>0</v>
      </c>
      <c r="H153" s="736">
        <v>0</v>
      </c>
      <c r="I153" s="736">
        <f>90000-H153</f>
        <v>90000</v>
      </c>
      <c r="J153" s="736">
        <f t="shared" si="2"/>
        <v>90000</v>
      </c>
      <c r="K153" s="736">
        <v>0</v>
      </c>
    </row>
    <row r="154" spans="1:11" ht="35.25" customHeight="1" x14ac:dyDescent="0.3">
      <c r="A154" s="828"/>
      <c r="B154" s="658"/>
      <c r="C154" s="1116" t="s">
        <v>1569</v>
      </c>
      <c r="D154" s="1117"/>
      <c r="E154" s="1117"/>
      <c r="F154" s="658" t="s">
        <v>1548</v>
      </c>
      <c r="G154" s="832">
        <v>0</v>
      </c>
      <c r="H154" s="736">
        <v>0</v>
      </c>
      <c r="I154" s="736">
        <f>350000-H154</f>
        <v>350000</v>
      </c>
      <c r="J154" s="736">
        <f t="shared" si="2"/>
        <v>350000</v>
      </c>
      <c r="K154" s="736">
        <v>0</v>
      </c>
    </row>
    <row r="155" spans="1:11" ht="32.25" customHeight="1" x14ac:dyDescent="0.3">
      <c r="A155" s="828"/>
      <c r="B155" s="658"/>
      <c r="C155" s="1116" t="s">
        <v>1570</v>
      </c>
      <c r="D155" s="1117"/>
      <c r="E155" s="1117"/>
      <c r="F155" s="658" t="s">
        <v>1592</v>
      </c>
      <c r="G155" s="832">
        <v>0</v>
      </c>
      <c r="H155" s="736">
        <v>0</v>
      </c>
      <c r="I155" s="736">
        <f>150000-H155</f>
        <v>150000</v>
      </c>
      <c r="J155" s="736">
        <f t="shared" si="2"/>
        <v>150000</v>
      </c>
      <c r="K155" s="736">
        <v>0</v>
      </c>
    </row>
    <row r="156" spans="1:11" ht="15.75" customHeight="1" x14ac:dyDescent="0.3">
      <c r="A156" s="828"/>
      <c r="B156" s="658"/>
      <c r="C156" s="829" t="s">
        <v>1571</v>
      </c>
      <c r="D156" s="830"/>
      <c r="E156" s="831"/>
      <c r="F156" s="658" t="s">
        <v>1593</v>
      </c>
      <c r="G156" s="832">
        <v>0</v>
      </c>
      <c r="H156" s="736">
        <v>0</v>
      </c>
      <c r="I156" s="736">
        <f>200000-H156</f>
        <v>200000</v>
      </c>
      <c r="J156" s="736">
        <f t="shared" si="2"/>
        <v>200000</v>
      </c>
      <c r="K156" s="736">
        <v>0</v>
      </c>
    </row>
    <row r="157" spans="1:11" ht="33.75" customHeight="1" x14ac:dyDescent="0.3">
      <c r="A157" s="828"/>
      <c r="B157" s="658"/>
      <c r="C157" s="1116" t="s">
        <v>1572</v>
      </c>
      <c r="D157" s="1117"/>
      <c r="E157" s="1117"/>
      <c r="F157" s="658" t="s">
        <v>1594</v>
      </c>
      <c r="G157" s="832">
        <v>0</v>
      </c>
      <c r="H157" s="736">
        <v>0</v>
      </c>
      <c r="I157" s="736">
        <f>400000-H157</f>
        <v>400000</v>
      </c>
      <c r="J157" s="736">
        <f t="shared" si="2"/>
        <v>400000</v>
      </c>
      <c r="K157" s="736">
        <v>0</v>
      </c>
    </row>
    <row r="158" spans="1:11" ht="18" customHeight="1" x14ac:dyDescent="0.3">
      <c r="A158" s="828"/>
      <c r="B158" s="658"/>
      <c r="C158" s="829" t="s">
        <v>1573</v>
      </c>
      <c r="D158" s="830"/>
      <c r="E158" s="831"/>
      <c r="F158" s="658" t="s">
        <v>1595</v>
      </c>
      <c r="G158" s="832">
        <v>0</v>
      </c>
      <c r="H158" s="736">
        <v>0</v>
      </c>
      <c r="I158" s="736">
        <f>130000-H158</f>
        <v>130000</v>
      </c>
      <c r="J158" s="736">
        <f t="shared" si="2"/>
        <v>130000</v>
      </c>
      <c r="K158" s="736">
        <v>0</v>
      </c>
    </row>
    <row r="159" spans="1:11" ht="35.25" customHeight="1" x14ac:dyDescent="0.3">
      <c r="A159" s="833"/>
      <c r="B159" s="666"/>
      <c r="C159" s="1116" t="s">
        <v>1574</v>
      </c>
      <c r="D159" s="1117"/>
      <c r="E159" s="1117"/>
      <c r="F159" s="658" t="s">
        <v>1596</v>
      </c>
      <c r="G159" s="837">
        <v>0</v>
      </c>
      <c r="H159" s="838">
        <v>0</v>
      </c>
      <c r="I159" s="736">
        <f>150000-H159</f>
        <v>150000</v>
      </c>
      <c r="J159" s="736">
        <f t="shared" si="2"/>
        <v>150000</v>
      </c>
      <c r="K159" s="838">
        <v>0</v>
      </c>
    </row>
    <row r="160" spans="1:11" ht="24" customHeight="1" x14ac:dyDescent="0.3">
      <c r="A160" s="833"/>
      <c r="B160" s="666"/>
      <c r="C160" s="829" t="s">
        <v>1575</v>
      </c>
      <c r="D160" s="830"/>
      <c r="E160" s="831"/>
      <c r="F160" s="658" t="s">
        <v>1597</v>
      </c>
      <c r="G160" s="837">
        <v>0</v>
      </c>
      <c r="H160" s="838">
        <v>0</v>
      </c>
      <c r="I160" s="736">
        <f>200000-H160</f>
        <v>200000</v>
      </c>
      <c r="J160" s="736">
        <f t="shared" si="2"/>
        <v>200000</v>
      </c>
      <c r="K160" s="838">
        <v>0</v>
      </c>
    </row>
    <row r="161" spans="1:11" ht="34.5" customHeight="1" x14ac:dyDescent="0.3">
      <c r="A161" s="833"/>
      <c r="B161" s="666"/>
      <c r="C161" s="1116" t="s">
        <v>1576</v>
      </c>
      <c r="D161" s="1117"/>
      <c r="E161" s="1117"/>
      <c r="F161" s="658" t="s">
        <v>1598</v>
      </c>
      <c r="G161" s="837">
        <v>0</v>
      </c>
      <c r="H161" s="838">
        <v>0</v>
      </c>
      <c r="I161" s="736">
        <f>300000-H161</f>
        <v>300000</v>
      </c>
      <c r="J161" s="736">
        <f t="shared" si="2"/>
        <v>300000</v>
      </c>
      <c r="K161" s="838">
        <v>0</v>
      </c>
    </row>
    <row r="162" spans="1:11" ht="37.5" customHeight="1" x14ac:dyDescent="0.3">
      <c r="A162" s="833"/>
      <c r="B162" s="666"/>
      <c r="C162" s="1116" t="s">
        <v>1577</v>
      </c>
      <c r="D162" s="1117"/>
      <c r="E162" s="1117"/>
      <c r="F162" s="658" t="s">
        <v>1599</v>
      </c>
      <c r="G162" s="837">
        <v>0</v>
      </c>
      <c r="H162" s="838">
        <v>0</v>
      </c>
      <c r="I162" s="736">
        <f>200000-H162</f>
        <v>200000</v>
      </c>
      <c r="J162" s="736">
        <f t="shared" si="2"/>
        <v>200000</v>
      </c>
      <c r="K162" s="838">
        <v>0</v>
      </c>
    </row>
    <row r="163" spans="1:11" ht="34.5" customHeight="1" x14ac:dyDescent="0.3">
      <c r="A163" s="833"/>
      <c r="B163" s="666"/>
      <c r="C163" s="1116" t="s">
        <v>1578</v>
      </c>
      <c r="D163" s="1117"/>
      <c r="E163" s="1117"/>
      <c r="F163" s="658" t="s">
        <v>1600</v>
      </c>
      <c r="G163" s="837">
        <v>0</v>
      </c>
      <c r="H163" s="838">
        <v>0</v>
      </c>
      <c r="I163" s="736">
        <f>200000-H163</f>
        <v>200000</v>
      </c>
      <c r="J163" s="736">
        <f t="shared" si="2"/>
        <v>200000</v>
      </c>
      <c r="K163" s="838">
        <v>0</v>
      </c>
    </row>
    <row r="164" spans="1:11" ht="18" customHeight="1" thickBot="1" x14ac:dyDescent="0.35">
      <c r="A164" s="833"/>
      <c r="B164" s="666"/>
      <c r="C164" s="834"/>
      <c r="D164" s="835"/>
      <c r="E164" s="836"/>
      <c r="F164" s="666"/>
      <c r="G164" s="837"/>
      <c r="H164" s="838"/>
      <c r="I164" s="838"/>
      <c r="J164" s="838"/>
      <c r="K164" s="838"/>
    </row>
    <row r="165" spans="1:11" s="850" customFormat="1" ht="18" customHeight="1" thickBot="1" x14ac:dyDescent="0.35">
      <c r="A165" s="845" t="s">
        <v>635</v>
      </c>
      <c r="B165" s="732"/>
      <c r="C165" s="846"/>
      <c r="D165" s="847"/>
      <c r="E165" s="848"/>
      <c r="F165" s="732"/>
      <c r="G165" s="849">
        <f>SUM(G107:G164)</f>
        <v>51144145.5</v>
      </c>
      <c r="H165" s="849">
        <f>SUM(H107:H164)</f>
        <v>22394235.91</v>
      </c>
      <c r="I165" s="849">
        <f>SUM(I107:I164)</f>
        <v>51813038.289999992</v>
      </c>
      <c r="J165" s="849">
        <f>SUM(J107:J164)</f>
        <v>74207274.199999988</v>
      </c>
      <c r="K165" s="864">
        <f>SUM(K107:K164)</f>
        <v>77476600</v>
      </c>
    </row>
    <row r="166" spans="1:11" ht="18" customHeight="1" thickBot="1" x14ac:dyDescent="0.35">
      <c r="A166" s="851"/>
      <c r="B166" s="852"/>
      <c r="C166" s="853"/>
      <c r="D166" s="854"/>
      <c r="E166" s="855"/>
      <c r="F166" s="852"/>
      <c r="G166" s="856"/>
      <c r="H166" s="857"/>
      <c r="I166" s="857"/>
      <c r="J166" s="857"/>
      <c r="K166" s="858"/>
    </row>
    <row r="167" spans="1:11" s="850" customFormat="1" ht="18" customHeight="1" thickBot="1" x14ac:dyDescent="0.35">
      <c r="A167" s="859"/>
      <c r="B167" s="732"/>
      <c r="C167" s="860" t="s">
        <v>43</v>
      </c>
      <c r="D167" s="861"/>
      <c r="E167" s="862"/>
      <c r="F167" s="676"/>
      <c r="G167" s="863">
        <f>SUM(G165+G41+'[1]LBP NO. 2'!I933+'[1]LBP NO. 2'!I867+'[1]LBP NO. 2'!I807+'[1]LBP NO. 2'!I737+'[1]LBP NO. 2'!I670+'[1]LBP NO. 2'!I599+'[1]LBP NO. 2'!I530+'[1]LBP NO. 2'!I465+'[1]LBP NO. 2'!I393+'[1]LBP NO. 2'!I324+'[1]LBP NO. 2'!I254+'[1]LBP NO. 2'!I186+'[1]LBP NO. 2'!I128+'[1]LBP NO. 2'!I56)</f>
        <v>133216935.13999997</v>
      </c>
      <c r="H167" s="863">
        <f>SUM(H165+H41+'[1]LBP NO. 2'!J933+'[1]LBP NO. 2'!J867+'[1]LBP NO. 2'!J807+'[1]LBP NO. 2'!J737+'[1]LBP NO. 2'!J670+'[1]LBP NO. 2'!J599+'[1]LBP NO. 2'!J530+'[1]LBP NO. 2'!J465+'[1]LBP NO. 2'!J393+'[1]LBP NO. 2'!J324+'[1]LBP NO. 2'!J254+'[1]LBP NO. 2'!J186+'[1]LBP NO. 2'!J128+'[1]LBP NO. 2'!J56)</f>
        <v>62270522.209999993</v>
      </c>
      <c r="I167" s="863">
        <f>SUM(I165+I41+'[1]LBP NO. 2'!K933+'[1]LBP NO. 2'!K867+'[1]LBP NO. 2'!K807+'[1]LBP NO. 2'!K737+'[1]LBP NO. 2'!K670+'[1]LBP NO. 2'!K599+'[1]LBP NO. 2'!K530+'[1]LBP NO. 2'!K465+'[1]LBP NO. 2'!K393+'[1]LBP NO. 2'!K324+'[1]LBP NO. 2'!K254+'[1]LBP NO. 2'!K186+'[1]LBP NO. 2'!K128+'[1]LBP NO. 2'!K56)</f>
        <v>116556372.25</v>
      </c>
      <c r="J167" s="863">
        <f>SUM(J165+J41+'[1]LBP NO. 2'!L933+'[1]LBP NO. 2'!L867+'[1]LBP NO. 2'!L807+'[1]LBP NO. 2'!L737+'[1]LBP NO. 2'!L670+'[1]LBP NO. 2'!L599+'[1]LBP NO. 2'!L530+'[1]LBP NO. 2'!L465+'[1]LBP NO. 2'!L393+'[1]LBP NO. 2'!L324+'[1]LBP NO. 2'!L254+'[1]LBP NO. 2'!L186+'[1]LBP NO. 2'!L128+'[1]LBP NO. 2'!L56)</f>
        <v>178826894.45999995</v>
      </c>
      <c r="K167" s="864">
        <f>SUM(K165+K41+'[1]LBP NO. 2'!M933+'[1]LBP NO. 2'!M867+'[1]LBP NO. 2'!M807+'[1]LBP NO. 2'!M737+'[1]LBP NO. 2'!M670+'[1]LBP NO. 2'!M599+'[1]LBP NO. 2'!M530+'[1]LBP NO. 2'!M465+'[1]LBP NO. 2'!M393+'[1]LBP NO. 2'!M324+'[1]LBP NO. 2'!M254+'[1]LBP NO. 2'!M186+'[1]LBP NO. 2'!M128+'[1]LBP NO. 2'!M56)</f>
        <v>173816441</v>
      </c>
    </row>
    <row r="168" spans="1:11" ht="18" customHeight="1" x14ac:dyDescent="0.2">
      <c r="A168" s="627"/>
      <c r="B168" s="740"/>
      <c r="C168" s="740"/>
      <c r="D168" s="740"/>
      <c r="E168" s="740"/>
      <c r="F168" s="740"/>
      <c r="G168" s="740"/>
      <c r="H168" s="841"/>
      <c r="I168" s="841"/>
      <c r="J168" s="841"/>
      <c r="K168" s="841"/>
    </row>
    <row r="169" spans="1:11" ht="18" customHeight="1" x14ac:dyDescent="0.25">
      <c r="A169" s="812" t="s">
        <v>636</v>
      </c>
      <c r="B169" s="812"/>
      <c r="C169" s="840"/>
      <c r="D169" s="840"/>
      <c r="E169" s="818"/>
      <c r="F169" s="909" t="s">
        <v>637</v>
      </c>
      <c r="G169" s="818"/>
      <c r="H169" s="813"/>
      <c r="I169" s="813"/>
      <c r="J169" s="813" t="s">
        <v>264</v>
      </c>
      <c r="K169" s="818"/>
    </row>
    <row r="170" spans="1:11" ht="18" customHeight="1" x14ac:dyDescent="0.25">
      <c r="A170" s="805"/>
      <c r="B170" s="911"/>
      <c r="C170" s="912"/>
      <c r="D170" s="912"/>
      <c r="E170" s="912"/>
      <c r="F170" s="912"/>
      <c r="G170" s="912"/>
      <c r="H170" s="810"/>
      <c r="I170" s="810"/>
      <c r="J170" s="810"/>
      <c r="K170" s="818"/>
    </row>
    <row r="171" spans="1:11" ht="18" customHeight="1" x14ac:dyDescent="0.25">
      <c r="A171" s="805"/>
      <c r="B171" s="911"/>
      <c r="C171" s="912"/>
      <c r="D171" s="912"/>
      <c r="E171" s="912"/>
      <c r="F171" s="912"/>
      <c r="G171" s="912"/>
      <c r="H171" s="810"/>
      <c r="I171" s="810"/>
      <c r="J171" s="810"/>
      <c r="K171" s="818"/>
    </row>
    <row r="172" spans="1:11" ht="18" customHeight="1" x14ac:dyDescent="0.25">
      <c r="A172" s="1113" t="s">
        <v>1495</v>
      </c>
      <c r="B172" s="1113"/>
      <c r="C172" s="1113"/>
      <c r="D172" s="842"/>
      <c r="E172" s="818"/>
      <c r="F172" s="814"/>
      <c r="G172" s="1115" t="s">
        <v>17</v>
      </c>
      <c r="H172" s="1115"/>
      <c r="I172" s="818"/>
      <c r="J172" s="1113" t="s">
        <v>1495</v>
      </c>
      <c r="K172" s="1113"/>
    </row>
    <row r="173" spans="1:11" ht="18" customHeight="1" x14ac:dyDescent="0.25">
      <c r="A173" s="1108" t="s">
        <v>14</v>
      </c>
      <c r="B173" s="1108"/>
      <c r="C173" s="1108"/>
      <c r="D173" s="815"/>
      <c r="E173" s="818"/>
      <c r="F173" s="816"/>
      <c r="G173" s="1114" t="s">
        <v>18</v>
      </c>
      <c r="H173" s="1114"/>
      <c r="I173" s="818"/>
      <c r="J173" s="1108" t="s">
        <v>14</v>
      </c>
      <c r="K173" s="1108"/>
    </row>
    <row r="174" spans="1:11" ht="18" customHeight="1" x14ac:dyDescent="0.25">
      <c r="A174" s="908"/>
      <c r="B174" s="908"/>
      <c r="C174" s="908"/>
      <c r="D174" s="815"/>
      <c r="E174" s="907"/>
      <c r="F174" s="907"/>
      <c r="G174" s="907"/>
      <c r="H174" s="865"/>
      <c r="I174" s="908"/>
      <c r="J174" s="908"/>
      <c r="K174" s="908"/>
    </row>
    <row r="175" spans="1:11" ht="18" customHeight="1" x14ac:dyDescent="0.25">
      <c r="A175" s="908"/>
      <c r="B175" s="908"/>
      <c r="C175" s="908"/>
      <c r="D175" s="815"/>
      <c r="E175" s="907"/>
      <c r="F175" s="907"/>
      <c r="G175" s="907"/>
      <c r="H175" s="865"/>
      <c r="I175" s="908"/>
      <c r="J175" s="908"/>
      <c r="K175" s="908"/>
    </row>
    <row r="176" spans="1:11" ht="18" customHeight="1" x14ac:dyDescent="0.25">
      <c r="A176" s="908"/>
      <c r="B176" s="908"/>
      <c r="C176" s="908"/>
      <c r="D176" s="815"/>
      <c r="E176" s="907"/>
      <c r="F176" s="907"/>
    </row>
    <row r="177" spans="1:13" ht="18" customHeight="1" x14ac:dyDescent="0.25">
      <c r="A177" s="908"/>
      <c r="B177" s="908"/>
      <c r="C177" s="908"/>
      <c r="D177" s="815"/>
      <c r="E177" s="907"/>
      <c r="F177" s="907"/>
      <c r="G177" s="907"/>
      <c r="H177" s="865"/>
      <c r="I177" s="908"/>
      <c r="J177" s="908"/>
      <c r="K177" s="908"/>
    </row>
    <row r="178" spans="1:13" ht="18" customHeight="1" x14ac:dyDescent="0.25">
      <c r="A178" s="908"/>
      <c r="B178" s="908"/>
      <c r="C178" s="908"/>
      <c r="D178" s="815"/>
      <c r="E178" s="907"/>
      <c r="F178" s="907"/>
      <c r="G178" s="907"/>
      <c r="H178" s="865"/>
      <c r="I178" s="908"/>
      <c r="J178" s="908"/>
      <c r="K178" s="908"/>
    </row>
    <row r="179" spans="1:13" ht="18" customHeight="1" x14ac:dyDescent="0.25">
      <c r="A179" s="908"/>
      <c r="B179" s="908"/>
      <c r="C179" s="908"/>
      <c r="D179" s="815"/>
      <c r="E179" s="907"/>
      <c r="F179" s="907"/>
      <c r="G179" s="907"/>
      <c r="H179" s="865"/>
      <c r="I179" s="908"/>
      <c r="J179" s="908"/>
      <c r="K179" s="908"/>
    </row>
    <row r="180" spans="1:13" ht="20.100000000000001" customHeight="1" x14ac:dyDescent="0.35">
      <c r="A180" s="1065" t="s">
        <v>998</v>
      </c>
      <c r="B180" s="1065"/>
      <c r="C180" s="1065"/>
      <c r="D180" s="1065"/>
      <c r="E180" s="1065"/>
      <c r="F180" s="1065"/>
      <c r="G180" s="1065"/>
      <c r="H180" s="1065"/>
      <c r="I180" s="1065"/>
      <c r="J180" s="1065"/>
      <c r="K180" s="1065"/>
    </row>
    <row r="181" spans="1:13" ht="18" customHeight="1" x14ac:dyDescent="0.25">
      <c r="A181" s="908"/>
      <c r="B181" s="908"/>
      <c r="C181" s="908"/>
      <c r="D181" s="815"/>
      <c r="E181" s="907"/>
      <c r="F181" s="907"/>
      <c r="G181" s="907"/>
      <c r="H181" s="865"/>
      <c r="I181" s="908"/>
      <c r="J181" s="908"/>
      <c r="K181" s="908"/>
    </row>
    <row r="182" spans="1:13" ht="18" hidden="1" customHeight="1" x14ac:dyDescent="0.25">
      <c r="A182" s="908"/>
      <c r="B182" s="908"/>
      <c r="C182" s="908"/>
      <c r="D182" s="815"/>
      <c r="E182" s="907"/>
      <c r="F182" s="907"/>
      <c r="G182" s="811">
        <f>G165+G41</f>
        <v>55632579.549999997</v>
      </c>
      <c r="H182" s="811">
        <f>H165+H41</f>
        <v>23774805.129999999</v>
      </c>
      <c r="I182" s="811">
        <f>I165+I41</f>
        <v>56978919.069999993</v>
      </c>
      <c r="J182" s="811">
        <f>J165+J41</f>
        <v>80753724.199999988</v>
      </c>
      <c r="K182" s="811">
        <f>K165+K41</f>
        <v>84044050</v>
      </c>
    </row>
    <row r="183" spans="1:13" ht="18" customHeight="1" x14ac:dyDescent="0.25">
      <c r="A183" s="908"/>
      <c r="B183" s="908"/>
      <c r="C183" s="908"/>
      <c r="D183" s="815"/>
      <c r="E183" s="907"/>
      <c r="F183" s="907"/>
      <c r="G183" s="907"/>
      <c r="H183" s="865"/>
      <c r="I183" s="908"/>
      <c r="J183" s="908"/>
      <c r="K183" s="908"/>
    </row>
    <row r="184" spans="1:13" ht="18" customHeight="1" x14ac:dyDescent="0.25">
      <c r="A184" s="908"/>
      <c r="B184" s="908"/>
      <c r="C184" s="908"/>
      <c r="D184" s="815"/>
      <c r="E184" s="907"/>
      <c r="F184" s="907"/>
      <c r="G184" s="907"/>
      <c r="H184" s="865"/>
      <c r="I184" s="908"/>
      <c r="J184" s="908"/>
      <c r="K184" s="908"/>
    </row>
    <row r="185" spans="1:13" ht="18" customHeight="1" x14ac:dyDescent="0.25">
      <c r="A185" s="908"/>
      <c r="B185" s="908"/>
      <c r="C185" s="908"/>
      <c r="D185" s="815"/>
      <c r="E185" s="907"/>
      <c r="F185" s="907"/>
      <c r="G185" s="907"/>
      <c r="H185" s="865"/>
      <c r="I185" s="908"/>
      <c r="J185" s="908"/>
      <c r="K185" s="908"/>
    </row>
    <row r="186" spans="1:13" ht="18" customHeight="1" x14ac:dyDescent="0.25">
      <c r="A186" s="908"/>
      <c r="B186" s="908"/>
      <c r="C186" s="908"/>
      <c r="D186" s="815"/>
      <c r="E186" s="907"/>
      <c r="F186" s="907"/>
      <c r="G186" s="907"/>
      <c r="H186" s="865"/>
      <c r="I186" s="908"/>
      <c r="J186" s="908"/>
      <c r="K186" s="908"/>
    </row>
    <row r="187" spans="1:13" ht="18" customHeight="1" x14ac:dyDescent="0.25">
      <c r="A187" s="908"/>
      <c r="B187" s="908"/>
      <c r="C187" s="908"/>
      <c r="D187" s="815"/>
      <c r="E187" s="907"/>
      <c r="F187" s="907"/>
      <c r="G187" s="907"/>
      <c r="H187" s="865"/>
      <c r="I187" s="908"/>
      <c r="J187" s="908"/>
      <c r="K187" s="908"/>
    </row>
    <row r="188" spans="1:13" ht="18" customHeight="1" x14ac:dyDescent="0.25">
      <c r="A188" s="908"/>
      <c r="B188" s="908"/>
      <c r="C188" s="908"/>
      <c r="D188" s="815"/>
      <c r="E188" s="907"/>
      <c r="F188" s="907"/>
      <c r="G188" s="907"/>
      <c r="H188" s="865"/>
      <c r="I188" s="908"/>
      <c r="J188" s="908"/>
      <c r="K188" s="908"/>
    </row>
    <row r="189" spans="1:13" ht="18" customHeight="1" x14ac:dyDescent="0.25">
      <c r="A189" s="908"/>
      <c r="B189" s="908"/>
      <c r="C189" s="908"/>
      <c r="D189" s="815"/>
      <c r="E189" s="907"/>
      <c r="F189" s="907"/>
      <c r="G189" s="907"/>
      <c r="H189" s="865"/>
      <c r="I189" s="908"/>
      <c r="J189" s="908"/>
      <c r="K189" s="908"/>
    </row>
    <row r="190" spans="1:13" ht="20.100000000000001" customHeight="1" x14ac:dyDescent="0.3">
      <c r="L190" s="843"/>
      <c r="M190" s="843"/>
    </row>
    <row r="203" spans="3:12" hidden="1" x14ac:dyDescent="0.2"/>
    <row r="204" spans="3:12" ht="15" hidden="1" customHeight="1" x14ac:dyDescent="0.2">
      <c r="C204" s="1" t="s">
        <v>962</v>
      </c>
      <c r="G204" s="866">
        <f>G165+G41</f>
        <v>55632579.549999997</v>
      </c>
      <c r="H204" s="866">
        <f>H165+H41</f>
        <v>23774805.129999999</v>
      </c>
      <c r="I204" s="866">
        <f>I165+I41</f>
        <v>56978919.069999993</v>
      </c>
      <c r="J204" s="866">
        <f>J165+J41</f>
        <v>80753724.199999988</v>
      </c>
      <c r="K204" s="866">
        <f>K165+K41</f>
        <v>84044050</v>
      </c>
    </row>
    <row r="205" spans="3:12" hidden="1" x14ac:dyDescent="0.2"/>
    <row r="206" spans="3:12" ht="15" hidden="1" customHeight="1" x14ac:dyDescent="0.2">
      <c r="C206" s="867" t="s">
        <v>261</v>
      </c>
      <c r="D206" s="867"/>
      <c r="E206" s="867"/>
      <c r="F206" s="867"/>
      <c r="G206" s="868">
        <f>SUM(G167+'LBP NO. 2'!I1014)</f>
        <v>145366136.60999998</v>
      </c>
      <c r="H206" s="868">
        <f>SUM(H167+'LBP NO. 2'!J1014)</f>
        <v>67622960.769999996</v>
      </c>
      <c r="I206" s="868">
        <f>SUM(I167+'LBP NO. 2'!K1014)</f>
        <v>123938310.43000001</v>
      </c>
      <c r="J206" s="868">
        <f>SUM(J167+'LBP NO. 2'!L1014)</f>
        <v>191561271.19999996</v>
      </c>
      <c r="K206" s="868">
        <f>SUM(K167+'LBP NO. 2'!M1014)</f>
        <v>185905498</v>
      </c>
      <c r="L206" s="844"/>
    </row>
    <row r="207" spans="3:12" ht="15" hidden="1" customHeight="1" x14ac:dyDescent="0.2">
      <c r="G207" s="844"/>
      <c r="H207" s="844">
        <f>H206-H167</f>
        <v>5352438.5600000024</v>
      </c>
      <c r="I207" s="844">
        <f>I206-I167</f>
        <v>7381938.1800000072</v>
      </c>
      <c r="J207" s="844">
        <f>J206-J167</f>
        <v>12734376.74000001</v>
      </c>
      <c r="K207" s="844">
        <f>K206-K167</f>
        <v>12089057</v>
      </c>
    </row>
    <row r="208" spans="3:12" hidden="1" x14ac:dyDescent="0.2">
      <c r="G208" s="1" t="s">
        <v>933</v>
      </c>
      <c r="H208" s="1" t="s">
        <v>933</v>
      </c>
      <c r="J208" s="1" t="s">
        <v>933</v>
      </c>
      <c r="K208" s="1" t="s">
        <v>933</v>
      </c>
    </row>
    <row r="209" spans="3:11" hidden="1" x14ac:dyDescent="0.2">
      <c r="C209" s="1" t="s">
        <v>278</v>
      </c>
      <c r="G209" s="869">
        <f>'[1]LBP NO. 2'!I1014</f>
        <v>12149201.470000001</v>
      </c>
      <c r="H209" s="869">
        <f>'[1]LBP NO. 2'!J1014</f>
        <v>5352438.5600000005</v>
      </c>
      <c r="I209" s="869">
        <f>'[1]LBP NO. 2'!K1014</f>
        <v>7381938.1799999997</v>
      </c>
      <c r="J209" s="869">
        <f>'[1]LBP NO. 2'!L1014</f>
        <v>12734376.74</v>
      </c>
      <c r="K209" s="869">
        <f>'[1]LBP NO. 2'!M1014</f>
        <v>12089057</v>
      </c>
    </row>
    <row r="210" spans="3:11" ht="15" hidden="1" customHeight="1" x14ac:dyDescent="0.2">
      <c r="G210" s="844"/>
    </row>
    <row r="211" spans="3:11" ht="15" hidden="1" customHeight="1" x14ac:dyDescent="0.2">
      <c r="I211" s="844"/>
      <c r="K211" s="844">
        <f>K206+11136316</f>
        <v>197041814</v>
      </c>
    </row>
    <row r="212" spans="3:11" ht="15" hidden="1" customHeight="1" x14ac:dyDescent="0.2"/>
    <row r="213" spans="3:11" ht="15" hidden="1" customHeight="1" x14ac:dyDescent="0.2">
      <c r="G213" s="870"/>
    </row>
    <row r="214" spans="3:11" s="870" customFormat="1" ht="15" hidden="1" customHeight="1" x14ac:dyDescent="0.2">
      <c r="G214" s="870">
        <f>123395619.78+10210922.66</f>
        <v>133606542.44</v>
      </c>
      <c r="H214" s="870">
        <f>51581180.59+4965293.34</f>
        <v>56546473.930000007</v>
      </c>
      <c r="J214" s="870">
        <f>146336929.48+11484951</f>
        <v>157821880.47999999</v>
      </c>
      <c r="K214" s="870">
        <f>164303975.25+12544271</f>
        <v>176848246.25</v>
      </c>
    </row>
    <row r="215" spans="3:11" ht="15" hidden="1" customHeight="1" x14ac:dyDescent="0.2">
      <c r="G215" s="844">
        <f>G206-G214</f>
        <v>11759594.169999987</v>
      </c>
      <c r="H215" s="844">
        <f t="shared" ref="H215:J215" si="3">H206-H214</f>
        <v>11076486.839999989</v>
      </c>
      <c r="I215" s="844">
        <f t="shared" si="3"/>
        <v>123938310.43000001</v>
      </c>
      <c r="J215" s="844">
        <f t="shared" si="3"/>
        <v>33739390.719999969</v>
      </c>
      <c r="K215" s="844">
        <f>K206-K214</f>
        <v>9057251.75</v>
      </c>
    </row>
    <row r="216" spans="3:11" ht="15" hidden="1" customHeight="1" x14ac:dyDescent="0.2">
      <c r="K216" s="844"/>
    </row>
    <row r="217" spans="3:11" ht="15" hidden="1" customHeight="1" x14ac:dyDescent="0.2">
      <c r="H217" s="1" t="s">
        <v>933</v>
      </c>
    </row>
    <row r="218" spans="3:11" ht="15" hidden="1" customHeight="1" x14ac:dyDescent="0.2">
      <c r="G218" s="870">
        <v>145366136.61000001</v>
      </c>
      <c r="H218" s="870">
        <v>67622960.769999996</v>
      </c>
      <c r="I218" s="870">
        <f>191561271.2-H218</f>
        <v>123938310.42999999</v>
      </c>
      <c r="J218" s="870">
        <v>191561271.19999999</v>
      </c>
      <c r="K218" s="870">
        <v>185905498</v>
      </c>
    </row>
    <row r="219" spans="3:11" ht="15" hidden="1" customHeight="1" x14ac:dyDescent="0.2">
      <c r="G219" s="844">
        <f>G206-G218</f>
        <v>0</v>
      </c>
      <c r="H219" s="844">
        <f t="shared" ref="H219:J219" si="4">H206-H218</f>
        <v>0</v>
      </c>
      <c r="I219" s="844">
        <f t="shared" si="4"/>
        <v>0</v>
      </c>
      <c r="J219" s="844">
        <f t="shared" si="4"/>
        <v>0</v>
      </c>
      <c r="K219" s="844">
        <f>K206-K218</f>
        <v>0</v>
      </c>
    </row>
    <row r="220" spans="3:11" ht="15" hidden="1" customHeight="1" x14ac:dyDescent="0.2"/>
    <row r="221" spans="3:11" ht="15" customHeight="1" x14ac:dyDescent="0.2">
      <c r="I221" s="844"/>
    </row>
    <row r="222" spans="3:11" ht="15" customHeight="1" x14ac:dyDescent="0.2"/>
    <row r="223" spans="3:11" ht="15" customHeight="1" x14ac:dyDescent="0.2"/>
    <row r="224" spans="3:11"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sheetData>
  <sheetProtection password="C1B6" sheet="1" objects="1" scenarios="1"/>
  <mergeCells count="38">
    <mergeCell ref="C159:E159"/>
    <mergeCell ref="C161:E161"/>
    <mergeCell ref="C147:E147"/>
    <mergeCell ref="C152:E152"/>
    <mergeCell ref="C154:E154"/>
    <mergeCell ref="C155:E155"/>
    <mergeCell ref="A172:C172"/>
    <mergeCell ref="A95:K95"/>
    <mergeCell ref="G173:H173"/>
    <mergeCell ref="J173:K173"/>
    <mergeCell ref="J46:K46"/>
    <mergeCell ref="J47:K47"/>
    <mergeCell ref="G46:H46"/>
    <mergeCell ref="G47:H47"/>
    <mergeCell ref="G172:H172"/>
    <mergeCell ref="J172:K172"/>
    <mergeCell ref="C149:E149"/>
    <mergeCell ref="C146:E146"/>
    <mergeCell ref="C162:E162"/>
    <mergeCell ref="C163:E163"/>
    <mergeCell ref="C145:E145"/>
    <mergeCell ref="C157:E157"/>
    <mergeCell ref="A180:K180"/>
    <mergeCell ref="A2:K2"/>
    <mergeCell ref="A3:K3"/>
    <mergeCell ref="A6:K6"/>
    <mergeCell ref="H7:J7"/>
    <mergeCell ref="H102:J102"/>
    <mergeCell ref="A97:K97"/>
    <mergeCell ref="A98:K98"/>
    <mergeCell ref="A101:K101"/>
    <mergeCell ref="A47:C47"/>
    <mergeCell ref="C9:E9"/>
    <mergeCell ref="C11:E11"/>
    <mergeCell ref="A46:C46"/>
    <mergeCell ref="C104:E104"/>
    <mergeCell ref="C106:E106"/>
    <mergeCell ref="A173:C173"/>
  </mergeCells>
  <printOptions horizontalCentered="1"/>
  <pageMargins left="0.5" right="0" top="1" bottom="0.75" header="0.5" footer="0"/>
  <pageSetup paperSize="256" scale="70" orientation="portrait" r:id="rId1"/>
  <headerFooter alignWithMargins="0">
    <oddFooter xml:space="preserve">&amp;C&amp;"Times New Roman,Bold"&amp;14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95"/>
  <sheetViews>
    <sheetView topLeftCell="A1198" zoomScaleNormal="100" workbookViewId="0">
      <selection activeCell="A1067" sqref="A1067:M1067"/>
    </sheetView>
  </sheetViews>
  <sheetFormatPr defaultRowHeight="12.75" x14ac:dyDescent="0.2"/>
  <cols>
    <col min="1" max="1" width="8.7109375" style="118" customWidth="1"/>
    <col min="2" max="2" width="4.140625" style="118" customWidth="1"/>
    <col min="3" max="3" width="1.28515625" style="212" customWidth="1"/>
    <col min="4" max="4" width="3.140625" style="212" customWidth="1"/>
    <col min="5" max="5" width="12.5703125" style="118" customWidth="1"/>
    <col min="6" max="6" width="5.85546875" style="118" customWidth="1"/>
    <col min="7" max="7" width="14.85546875" style="118" customWidth="1"/>
    <col min="8" max="8" width="31.85546875" style="118" customWidth="1"/>
    <col min="9" max="9" width="7.42578125" style="118" customWidth="1"/>
    <col min="10" max="10" width="13.5703125" style="118" customWidth="1"/>
    <col min="11" max="11" width="7.140625" style="136" customWidth="1"/>
    <col min="12" max="12" width="13.7109375" style="113" customWidth="1"/>
    <col min="13" max="13" width="14.140625" style="180" customWidth="1"/>
    <col min="14" max="14" width="14.42578125" style="115" customWidth="1"/>
    <col min="15" max="15" width="10.5703125" style="115" customWidth="1"/>
    <col min="16" max="16" width="13.28515625" style="116" customWidth="1"/>
    <col min="17" max="17" width="13.5703125" style="116" customWidth="1"/>
    <col min="18" max="18" width="13.5703125" style="117" customWidth="1"/>
    <col min="19" max="16384" width="9.140625" style="118"/>
  </cols>
  <sheetData>
    <row r="1" spans="1:18" ht="18" customHeight="1" x14ac:dyDescent="0.2">
      <c r="A1" s="110"/>
      <c r="B1" s="110"/>
      <c r="C1" s="937"/>
      <c r="D1" s="937"/>
      <c r="E1" s="111"/>
      <c r="F1" s="111"/>
      <c r="G1" s="111"/>
      <c r="H1" s="111"/>
      <c r="I1" s="111"/>
      <c r="J1" s="111"/>
      <c r="K1" s="112"/>
      <c r="M1" s="114"/>
    </row>
    <row r="2" spans="1:18" ht="18" customHeight="1" x14ac:dyDescent="0.3">
      <c r="A2" s="1119" t="s">
        <v>1549</v>
      </c>
      <c r="B2" s="1119"/>
      <c r="C2" s="1119"/>
      <c r="D2" s="1119"/>
      <c r="E2" s="1119"/>
      <c r="F2" s="1119"/>
      <c r="G2" s="1119"/>
      <c r="H2" s="1119"/>
      <c r="I2" s="1119"/>
      <c r="J2" s="1119"/>
      <c r="K2" s="1119"/>
      <c r="L2" s="1119"/>
      <c r="M2" s="1119"/>
    </row>
    <row r="3" spans="1:18" ht="18" customHeight="1" x14ac:dyDescent="0.3">
      <c r="A3" s="1120" t="s">
        <v>364</v>
      </c>
      <c r="B3" s="1120"/>
      <c r="C3" s="1120"/>
      <c r="D3" s="1120"/>
      <c r="E3" s="1120"/>
      <c r="F3" s="1120"/>
      <c r="G3" s="1120"/>
      <c r="H3" s="1120"/>
      <c r="I3" s="1120"/>
      <c r="J3" s="1120"/>
      <c r="K3" s="1120"/>
      <c r="L3" s="1120"/>
      <c r="M3" s="1120"/>
    </row>
    <row r="4" spans="1:18" ht="18" customHeight="1" x14ac:dyDescent="0.2">
      <c r="A4" s="1121"/>
      <c r="B4" s="1121"/>
      <c r="C4" s="1121"/>
      <c r="D4" s="1121"/>
      <c r="E4" s="1121"/>
      <c r="F4" s="1121"/>
      <c r="G4" s="1121"/>
      <c r="H4" s="1121"/>
      <c r="I4" s="1121"/>
      <c r="J4" s="1121"/>
      <c r="K4" s="1121"/>
      <c r="L4" s="1121"/>
      <c r="M4" s="1121"/>
    </row>
    <row r="5" spans="1:18" ht="18" customHeight="1" x14ac:dyDescent="0.2">
      <c r="A5" s="930"/>
      <c r="B5" s="930"/>
      <c r="C5" s="930"/>
      <c r="D5" s="930"/>
      <c r="E5" s="930"/>
      <c r="F5" s="930"/>
      <c r="G5" s="930"/>
      <c r="H5" s="930"/>
      <c r="I5" s="930"/>
      <c r="J5" s="930"/>
      <c r="K5" s="930"/>
      <c r="L5" s="930"/>
      <c r="M5" s="930"/>
    </row>
    <row r="6" spans="1:18" ht="18" customHeight="1" x14ac:dyDescent="0.2">
      <c r="A6" s="111" t="s">
        <v>453</v>
      </c>
      <c r="B6" s="111"/>
      <c r="C6" s="930" t="s">
        <v>455</v>
      </c>
      <c r="D6" s="111" t="s">
        <v>299</v>
      </c>
      <c r="F6" s="111"/>
      <c r="G6" s="111"/>
      <c r="H6" s="111"/>
      <c r="I6" s="111"/>
      <c r="J6" s="112"/>
      <c r="K6" s="930"/>
      <c r="L6" s="930"/>
      <c r="M6" s="930"/>
    </row>
    <row r="7" spans="1:18" ht="18" customHeight="1" x14ac:dyDescent="0.2">
      <c r="A7" s="111" t="s">
        <v>452</v>
      </c>
      <c r="B7" s="111"/>
      <c r="C7" s="930" t="s">
        <v>455</v>
      </c>
      <c r="D7" s="111" t="s">
        <v>456</v>
      </c>
      <c r="F7" s="111"/>
      <c r="G7" s="111"/>
      <c r="H7" s="111"/>
      <c r="I7" s="111"/>
      <c r="J7" s="112"/>
      <c r="K7" s="930"/>
      <c r="L7" s="930"/>
      <c r="M7" s="930"/>
    </row>
    <row r="8" spans="1:18" ht="18" customHeight="1" thickBot="1" x14ac:dyDescent="0.25">
      <c r="A8" s="111" t="s">
        <v>454</v>
      </c>
      <c r="B8" s="111"/>
      <c r="C8" s="119" t="s">
        <v>455</v>
      </c>
      <c r="D8" s="111" t="s">
        <v>684</v>
      </c>
      <c r="F8" s="111"/>
      <c r="G8" s="111"/>
      <c r="H8" s="111"/>
      <c r="I8" s="111"/>
      <c r="J8" s="112"/>
      <c r="K8" s="112"/>
      <c r="M8" s="113"/>
      <c r="P8" s="120" t="s">
        <v>897</v>
      </c>
    </row>
    <row r="9" spans="1:18" ht="18" customHeight="1" x14ac:dyDescent="0.2">
      <c r="A9" s="1122" t="s">
        <v>642</v>
      </c>
      <c r="B9" s="1123"/>
      <c r="C9" s="1123"/>
      <c r="D9" s="1123"/>
      <c r="E9" s="1124"/>
      <c r="F9" s="1123"/>
      <c r="G9" s="1125"/>
      <c r="H9" s="931"/>
      <c r="I9" s="1126" t="s">
        <v>646</v>
      </c>
      <c r="J9" s="1127"/>
      <c r="K9" s="1126" t="s">
        <v>646</v>
      </c>
      <c r="L9" s="1127"/>
      <c r="M9" s="122"/>
    </row>
    <row r="10" spans="1:18" ht="18" customHeight="1" x14ac:dyDescent="0.2">
      <c r="A10" s="123" t="s">
        <v>643</v>
      </c>
      <c r="B10" s="1133" t="s">
        <v>644</v>
      </c>
      <c r="C10" s="1134"/>
      <c r="D10" s="1135"/>
      <c r="E10" s="1136" t="s">
        <v>45</v>
      </c>
      <c r="F10" s="1137"/>
      <c r="G10" s="1138"/>
      <c r="H10" s="934" t="s">
        <v>46</v>
      </c>
      <c r="I10" s="1136" t="s">
        <v>1492</v>
      </c>
      <c r="J10" s="1138"/>
      <c r="K10" s="1137" t="s">
        <v>1550</v>
      </c>
      <c r="L10" s="1138"/>
      <c r="M10" s="124" t="s">
        <v>47</v>
      </c>
    </row>
    <row r="11" spans="1:18" ht="18" customHeight="1" x14ac:dyDescent="0.2">
      <c r="A11" s="125"/>
      <c r="B11" s="934"/>
      <c r="C11" s="935"/>
      <c r="D11" s="935"/>
      <c r="E11" s="934"/>
      <c r="F11" s="935"/>
      <c r="G11" s="936"/>
      <c r="H11" s="934" t="s">
        <v>48</v>
      </c>
      <c r="I11" s="1139" t="s">
        <v>1551</v>
      </c>
      <c r="J11" s="1140"/>
      <c r="K11" s="1139"/>
      <c r="L11" s="1140"/>
      <c r="M11" s="124" t="s">
        <v>49</v>
      </c>
    </row>
    <row r="12" spans="1:18" ht="18" customHeight="1" x14ac:dyDescent="0.2">
      <c r="A12" s="125"/>
      <c r="B12" s="934"/>
      <c r="C12" s="935"/>
      <c r="D12" s="935"/>
      <c r="E12" s="934"/>
      <c r="F12" s="935"/>
      <c r="G12" s="126"/>
      <c r="H12" s="127"/>
      <c r="I12" s="128" t="s">
        <v>645</v>
      </c>
      <c r="J12" s="129" t="s">
        <v>50</v>
      </c>
      <c r="K12" s="128" t="s">
        <v>645</v>
      </c>
      <c r="L12" s="129" t="s">
        <v>50</v>
      </c>
      <c r="M12" s="124"/>
    </row>
    <row r="13" spans="1:18" ht="18" customHeight="1" thickBot="1" x14ac:dyDescent="0.25">
      <c r="A13" s="130"/>
      <c r="B13" s="1128"/>
      <c r="C13" s="1129"/>
      <c r="D13" s="1130"/>
      <c r="E13" s="1128"/>
      <c r="F13" s="1129"/>
      <c r="G13" s="1130"/>
      <c r="H13" s="131"/>
      <c r="I13" s="131"/>
      <c r="J13" s="131"/>
      <c r="K13" s="131"/>
      <c r="L13" s="131"/>
      <c r="M13" s="132"/>
    </row>
    <row r="14" spans="1:18" ht="18" customHeight="1" x14ac:dyDescent="0.2">
      <c r="A14" s="133"/>
      <c r="B14" s="133"/>
      <c r="C14" s="119"/>
      <c r="D14" s="119"/>
      <c r="E14" s="133"/>
      <c r="F14" s="119"/>
      <c r="G14" s="134"/>
      <c r="H14" s="135"/>
      <c r="I14" s="136"/>
      <c r="J14" s="137"/>
      <c r="L14" s="137"/>
      <c r="M14" s="138"/>
    </row>
    <row r="15" spans="1:18" s="148" customFormat="1" ht="18" customHeight="1" x14ac:dyDescent="0.25">
      <c r="A15" s="139">
        <v>1</v>
      </c>
      <c r="B15" s="139"/>
      <c r="C15" s="140"/>
      <c r="D15" s="140"/>
      <c r="E15" s="141" t="s">
        <v>14</v>
      </c>
      <c r="F15" s="140"/>
      <c r="G15" s="142"/>
      <c r="H15" s="143" t="s">
        <v>1486</v>
      </c>
      <c r="I15" s="144" t="s">
        <v>1488</v>
      </c>
      <c r="J15" s="145">
        <f>105263*12</f>
        <v>1263156</v>
      </c>
      <c r="K15" s="144" t="s">
        <v>1488</v>
      </c>
      <c r="L15" s="145">
        <v>1287924</v>
      </c>
      <c r="M15" s="146">
        <f>L15-J15</f>
        <v>24768</v>
      </c>
      <c r="N15" s="115">
        <f>L15-J15</f>
        <v>24768</v>
      </c>
      <c r="O15" s="115">
        <f>N15-M15</f>
        <v>0</v>
      </c>
      <c r="P15" s="116">
        <v>90116</v>
      </c>
      <c r="Q15" s="116">
        <f>P15*12</f>
        <v>1081392</v>
      </c>
      <c r="R15" s="147">
        <f>Q15-L15</f>
        <v>-206532</v>
      </c>
    </row>
    <row r="16" spans="1:18" s="148" customFormat="1" ht="18" customHeight="1" x14ac:dyDescent="0.25">
      <c r="A16" s="139"/>
      <c r="B16" s="139"/>
      <c r="C16" s="140"/>
      <c r="D16" s="140"/>
      <c r="E16" s="141"/>
      <c r="F16" s="140"/>
      <c r="G16" s="142"/>
      <c r="H16" s="143"/>
      <c r="I16" s="144"/>
      <c r="J16" s="145"/>
      <c r="K16" s="144"/>
      <c r="L16" s="145"/>
      <c r="M16" s="145"/>
      <c r="N16" s="115"/>
      <c r="O16" s="115"/>
      <c r="P16" s="116"/>
      <c r="Q16" s="116"/>
      <c r="R16" s="117"/>
    </row>
    <row r="17" spans="1:18" s="148" customFormat="1" ht="18" customHeight="1" x14ac:dyDescent="0.25">
      <c r="A17" s="139"/>
      <c r="B17" s="139"/>
      <c r="C17" s="140"/>
      <c r="D17" s="140"/>
      <c r="E17" s="149" t="s">
        <v>52</v>
      </c>
      <c r="F17" s="140"/>
      <c r="G17" s="150"/>
      <c r="H17" s="143"/>
      <c r="I17" s="144"/>
      <c r="J17" s="145"/>
      <c r="K17" s="144"/>
      <c r="L17" s="145"/>
      <c r="M17" s="145"/>
      <c r="N17" s="115"/>
      <c r="O17" s="115"/>
      <c r="P17" s="116"/>
      <c r="Q17" s="116"/>
      <c r="R17" s="117"/>
    </row>
    <row r="18" spans="1:18" s="148" customFormat="1" ht="18" customHeight="1" x14ac:dyDescent="0.25">
      <c r="A18" s="139"/>
      <c r="B18" s="139"/>
      <c r="C18" s="140"/>
      <c r="D18" s="140"/>
      <c r="E18" s="141"/>
      <c r="F18" s="140"/>
      <c r="G18" s="142"/>
      <c r="H18" s="143"/>
      <c r="I18" s="144"/>
      <c r="J18" s="145"/>
      <c r="K18" s="144"/>
      <c r="L18" s="145"/>
      <c r="M18" s="146"/>
      <c r="N18" s="115"/>
      <c r="O18" s="115"/>
      <c r="P18" s="116"/>
      <c r="Q18" s="116"/>
      <c r="R18" s="117"/>
    </row>
    <row r="19" spans="1:18" s="148" customFormat="1" ht="18" customHeight="1" x14ac:dyDescent="0.25">
      <c r="A19" s="139">
        <v>2</v>
      </c>
      <c r="B19" s="139"/>
      <c r="C19" s="140"/>
      <c r="D19" s="140"/>
      <c r="E19" s="141" t="s">
        <v>438</v>
      </c>
      <c r="F19" s="140"/>
      <c r="G19" s="142"/>
      <c r="H19" s="143" t="s">
        <v>901</v>
      </c>
      <c r="I19" s="144" t="s">
        <v>54</v>
      </c>
      <c r="J19" s="145">
        <f>27245*12</f>
        <v>326940</v>
      </c>
      <c r="K19" s="144" t="s">
        <v>54</v>
      </c>
      <c r="L19" s="145">
        <v>342468</v>
      </c>
      <c r="M19" s="146">
        <f>L19-J19</f>
        <v>15528</v>
      </c>
      <c r="N19" s="115">
        <f>L19-J19</f>
        <v>15528</v>
      </c>
      <c r="O19" s="115">
        <f>N19-M19</f>
        <v>0</v>
      </c>
      <c r="P19" s="116">
        <v>24955</v>
      </c>
      <c r="Q19" s="116">
        <f>P19*12</f>
        <v>299460</v>
      </c>
      <c r="R19" s="147">
        <f>Q19-L19</f>
        <v>-43008</v>
      </c>
    </row>
    <row r="20" spans="1:18" s="148" customFormat="1" ht="18" customHeight="1" x14ac:dyDescent="0.25">
      <c r="A20" s="139"/>
      <c r="B20" s="139"/>
      <c r="C20" s="140"/>
      <c r="D20" s="140"/>
      <c r="E20" s="141"/>
      <c r="F20" s="140"/>
      <c r="G20" s="142"/>
      <c r="H20" s="143"/>
      <c r="I20" s="144"/>
      <c r="J20" s="151"/>
      <c r="K20" s="144"/>
      <c r="L20" s="151"/>
      <c r="M20" s="146"/>
      <c r="N20" s="115"/>
      <c r="O20" s="115"/>
      <c r="P20" s="116"/>
      <c r="Q20" s="116"/>
      <c r="R20" s="117"/>
    </row>
    <row r="21" spans="1:18" s="148" customFormat="1" ht="18" customHeight="1" x14ac:dyDescent="0.25">
      <c r="A21" s="139">
        <v>3</v>
      </c>
      <c r="B21" s="139"/>
      <c r="C21" s="140"/>
      <c r="D21" s="140"/>
      <c r="E21" s="141" t="s">
        <v>55</v>
      </c>
      <c r="F21" s="140"/>
      <c r="G21" s="142"/>
      <c r="H21" s="143" t="s">
        <v>1506</v>
      </c>
      <c r="I21" s="144" t="s">
        <v>57</v>
      </c>
      <c r="J21" s="145">
        <f>11736*12</f>
        <v>140832</v>
      </c>
      <c r="K21" s="144" t="s">
        <v>57</v>
      </c>
      <c r="L21" s="145">
        <v>146880</v>
      </c>
      <c r="M21" s="146">
        <f>L21-J21</f>
        <v>6048</v>
      </c>
      <c r="N21" s="115">
        <f>L21-J21</f>
        <v>6048</v>
      </c>
      <c r="O21" s="115">
        <f>N21-M21</f>
        <v>0</v>
      </c>
      <c r="P21" s="116">
        <v>10773</v>
      </c>
      <c r="Q21" s="116">
        <f>P21*12</f>
        <v>129276</v>
      </c>
      <c r="R21" s="147">
        <f>Q21-L21</f>
        <v>-17604</v>
      </c>
    </row>
    <row r="22" spans="1:18" s="148" customFormat="1" ht="18" customHeight="1" x14ac:dyDescent="0.25">
      <c r="A22" s="139"/>
      <c r="B22" s="139"/>
      <c r="C22" s="140"/>
      <c r="D22" s="140"/>
      <c r="E22" s="141"/>
      <c r="F22" s="140"/>
      <c r="G22" s="142"/>
      <c r="H22" s="143"/>
      <c r="I22" s="144"/>
      <c r="J22" s="145"/>
      <c r="K22" s="144"/>
      <c r="L22" s="145"/>
      <c r="M22" s="146"/>
      <c r="N22" s="115"/>
      <c r="O22" s="115"/>
      <c r="P22" s="116"/>
      <c r="Q22" s="116"/>
      <c r="R22" s="117"/>
    </row>
    <row r="23" spans="1:18" s="148" customFormat="1" ht="18" customHeight="1" x14ac:dyDescent="0.25">
      <c r="A23" s="139"/>
      <c r="B23" s="139"/>
      <c r="C23" s="140"/>
      <c r="D23" s="140"/>
      <c r="E23" s="149" t="s">
        <v>58</v>
      </c>
      <c r="F23" s="140"/>
      <c r="G23" s="150"/>
      <c r="H23" s="143"/>
      <c r="I23" s="144"/>
      <c r="J23" s="145"/>
      <c r="K23" s="144"/>
      <c r="L23" s="145"/>
      <c r="M23" s="145"/>
      <c r="N23" s="115"/>
      <c r="O23" s="115"/>
      <c r="P23" s="116"/>
      <c r="Q23" s="116"/>
      <c r="R23" s="117"/>
    </row>
    <row r="24" spans="1:18" s="148" customFormat="1" ht="18" customHeight="1" x14ac:dyDescent="0.25">
      <c r="A24" s="139"/>
      <c r="B24" s="139"/>
      <c r="C24" s="140"/>
      <c r="D24" s="140"/>
      <c r="E24" s="141"/>
      <c r="F24" s="140"/>
      <c r="G24" s="142"/>
      <c r="H24" s="143"/>
      <c r="I24" s="144"/>
      <c r="J24" s="145"/>
      <c r="K24" s="144"/>
      <c r="L24" s="145"/>
      <c r="M24" s="146"/>
      <c r="N24" s="115"/>
      <c r="O24" s="115"/>
      <c r="P24" s="116"/>
      <c r="Q24" s="116"/>
      <c r="R24" s="117"/>
    </row>
    <row r="25" spans="1:18" s="148" customFormat="1" ht="18" customHeight="1" x14ac:dyDescent="0.25">
      <c r="A25" s="139">
        <v>4</v>
      </c>
      <c r="B25" s="139"/>
      <c r="C25" s="140"/>
      <c r="D25" s="140"/>
      <c r="E25" s="141" t="s">
        <v>55</v>
      </c>
      <c r="F25" s="140"/>
      <c r="G25" s="142"/>
      <c r="H25" s="143" t="s">
        <v>60</v>
      </c>
      <c r="I25" s="144" t="s">
        <v>250</v>
      </c>
      <c r="J25" s="145">
        <f>11917*12</f>
        <v>143004</v>
      </c>
      <c r="K25" s="144" t="s">
        <v>250</v>
      </c>
      <c r="L25" s="145">
        <v>149148</v>
      </c>
      <c r="M25" s="146">
        <f>L25-J25</f>
        <v>6144</v>
      </c>
      <c r="N25" s="115">
        <f>L25-J25</f>
        <v>6144</v>
      </c>
      <c r="O25" s="115">
        <f>N25-M25</f>
        <v>0</v>
      </c>
      <c r="P25" s="116">
        <v>10861</v>
      </c>
      <c r="Q25" s="116">
        <f>P25*12</f>
        <v>130332</v>
      </c>
      <c r="R25" s="147">
        <f>Q25-L25</f>
        <v>-18816</v>
      </c>
    </row>
    <row r="26" spans="1:18" s="148" customFormat="1" ht="18" customHeight="1" x14ac:dyDescent="0.25">
      <c r="A26" s="139"/>
      <c r="B26" s="139"/>
      <c r="C26" s="140"/>
      <c r="D26" s="140"/>
      <c r="E26" s="141"/>
      <c r="F26" s="140"/>
      <c r="G26" s="142"/>
      <c r="H26" s="143"/>
      <c r="I26" s="144"/>
      <c r="J26" s="151"/>
      <c r="K26" s="144"/>
      <c r="L26" s="151"/>
      <c r="M26" s="146"/>
      <c r="N26" s="115"/>
      <c r="O26" s="115"/>
      <c r="P26" s="116"/>
      <c r="Q26" s="116"/>
      <c r="R26" s="117"/>
    </row>
    <row r="27" spans="1:18" s="148" customFormat="1" ht="18" customHeight="1" x14ac:dyDescent="0.25">
      <c r="A27" s="139"/>
      <c r="B27" s="139"/>
      <c r="C27" s="140"/>
      <c r="D27" s="140"/>
      <c r="E27" s="141"/>
      <c r="F27" s="140"/>
      <c r="G27" s="142"/>
      <c r="H27" s="143"/>
      <c r="I27" s="144"/>
      <c r="J27" s="151"/>
      <c r="K27" s="144"/>
      <c r="L27" s="151"/>
      <c r="M27" s="146"/>
      <c r="N27" s="115"/>
      <c r="O27" s="115"/>
      <c r="P27" s="116"/>
      <c r="Q27" s="116"/>
      <c r="R27" s="117"/>
    </row>
    <row r="28" spans="1:18" s="148" customFormat="1" ht="18" customHeight="1" x14ac:dyDescent="0.25">
      <c r="A28" s="139">
        <v>5</v>
      </c>
      <c r="B28" s="139"/>
      <c r="C28" s="140"/>
      <c r="D28" s="140"/>
      <c r="E28" s="141" t="s">
        <v>59</v>
      </c>
      <c r="F28" s="140"/>
      <c r="G28" s="142"/>
      <c r="H28" s="143" t="s">
        <v>156</v>
      </c>
      <c r="I28" s="144" t="s">
        <v>257</v>
      </c>
      <c r="J28" s="145">
        <f>11237*12</f>
        <v>134844</v>
      </c>
      <c r="K28" s="144" t="s">
        <v>257</v>
      </c>
      <c r="L28" s="145">
        <v>140568</v>
      </c>
      <c r="M28" s="146">
        <f>L28-J28</f>
        <v>5724</v>
      </c>
      <c r="N28" s="115">
        <f>L28-J28</f>
        <v>5724</v>
      </c>
      <c r="O28" s="115">
        <f>N28-M28</f>
        <v>0</v>
      </c>
      <c r="P28" s="116">
        <v>10211</v>
      </c>
      <c r="Q28" s="116">
        <f>P28*12</f>
        <v>122532</v>
      </c>
      <c r="R28" s="147">
        <f>Q28-L28</f>
        <v>-18036</v>
      </c>
    </row>
    <row r="29" spans="1:18" s="148" customFormat="1" ht="18" customHeight="1" x14ac:dyDescent="0.25">
      <c r="A29" s="139"/>
      <c r="B29" s="139"/>
      <c r="C29" s="140"/>
      <c r="D29" s="140"/>
      <c r="E29" s="141"/>
      <c r="F29" s="140"/>
      <c r="G29" s="142"/>
      <c r="H29" s="143"/>
      <c r="I29" s="144"/>
      <c r="J29" s="151"/>
      <c r="K29" s="144"/>
      <c r="L29" s="151"/>
      <c r="M29" s="146"/>
      <c r="N29" s="115"/>
      <c r="O29" s="115"/>
      <c r="P29" s="116"/>
      <c r="Q29" s="116"/>
      <c r="R29" s="117"/>
    </row>
    <row r="30" spans="1:18" s="148" customFormat="1" ht="18" customHeight="1" x14ac:dyDescent="0.25">
      <c r="A30" s="139"/>
      <c r="B30" s="139"/>
      <c r="C30" s="140"/>
      <c r="D30" s="140"/>
      <c r="E30" s="141"/>
      <c r="F30" s="140"/>
      <c r="G30" s="142"/>
      <c r="H30" s="143"/>
      <c r="I30" s="144"/>
      <c r="J30" s="145"/>
      <c r="K30" s="144"/>
      <c r="L30" s="145"/>
      <c r="M30" s="146"/>
      <c r="N30" s="115"/>
      <c r="O30" s="115"/>
      <c r="P30" s="116"/>
      <c r="Q30" s="116"/>
      <c r="R30" s="117"/>
    </row>
    <row r="31" spans="1:18" s="148" customFormat="1" ht="18" customHeight="1" x14ac:dyDescent="0.25">
      <c r="A31" s="139">
        <v>6</v>
      </c>
      <c r="B31" s="139"/>
      <c r="C31" s="140"/>
      <c r="D31" s="140"/>
      <c r="E31" s="141" t="s">
        <v>990</v>
      </c>
      <c r="F31" s="140"/>
      <c r="G31" s="142"/>
      <c r="H31" s="143" t="s">
        <v>1019</v>
      </c>
      <c r="I31" s="144" t="s">
        <v>168</v>
      </c>
      <c r="J31" s="145">
        <f>14879*12</f>
        <v>178548</v>
      </c>
      <c r="K31" s="144" t="s">
        <v>168</v>
      </c>
      <c r="L31" s="145">
        <v>186156</v>
      </c>
      <c r="M31" s="146">
        <f>L31-J31</f>
        <v>7608</v>
      </c>
      <c r="N31" s="115">
        <f>L31-J31</f>
        <v>7608</v>
      </c>
      <c r="O31" s="115">
        <f>N31-M31</f>
        <v>0</v>
      </c>
      <c r="P31" s="116">
        <v>14361</v>
      </c>
      <c r="Q31" s="116">
        <f>P31*12</f>
        <v>172332</v>
      </c>
      <c r="R31" s="147">
        <f>Q31-L31</f>
        <v>-13824</v>
      </c>
    </row>
    <row r="32" spans="1:18" s="148" customFormat="1" ht="18" customHeight="1" x14ac:dyDescent="0.25">
      <c r="A32" s="139"/>
      <c r="B32" s="139"/>
      <c r="C32" s="140"/>
      <c r="D32" s="140"/>
      <c r="E32" s="141"/>
      <c r="F32" s="140"/>
      <c r="G32" s="142"/>
      <c r="H32" s="143"/>
      <c r="I32" s="144"/>
      <c r="J32" s="145"/>
      <c r="K32" s="144" t="s">
        <v>397</v>
      </c>
      <c r="L32" s="145">
        <v>187848</v>
      </c>
      <c r="M32" s="146">
        <v>282</v>
      </c>
      <c r="N32" s="115"/>
      <c r="O32" s="115"/>
      <c r="P32" s="116"/>
      <c r="Q32" s="116"/>
      <c r="R32" s="147"/>
    </row>
    <row r="33" spans="1:18" s="148" customFormat="1" ht="18" customHeight="1" x14ac:dyDescent="0.25">
      <c r="A33" s="139"/>
      <c r="B33" s="139"/>
      <c r="C33" s="140"/>
      <c r="D33" s="140"/>
      <c r="E33" s="141"/>
      <c r="F33" s="140"/>
      <c r="G33" s="142"/>
      <c r="H33" s="143"/>
      <c r="I33" s="144"/>
      <c r="J33" s="151"/>
      <c r="K33" s="144"/>
      <c r="L33" s="151">
        <v>44505</v>
      </c>
      <c r="M33" s="146"/>
      <c r="N33" s="115"/>
      <c r="O33" s="115"/>
      <c r="P33" s="116"/>
      <c r="Q33" s="116"/>
      <c r="R33" s="117"/>
    </row>
    <row r="34" spans="1:18" s="148" customFormat="1" ht="18" customHeight="1" x14ac:dyDescent="0.25">
      <c r="A34" s="139"/>
      <c r="B34" s="139"/>
      <c r="C34" s="140"/>
      <c r="D34" s="140"/>
      <c r="E34" s="141"/>
      <c r="F34" s="140"/>
      <c r="G34" s="142"/>
      <c r="H34" s="143"/>
      <c r="I34" s="144"/>
      <c r="J34" s="151"/>
      <c r="K34" s="144"/>
      <c r="L34" s="151"/>
      <c r="M34" s="146"/>
      <c r="N34" s="115"/>
      <c r="O34" s="115"/>
      <c r="P34" s="116"/>
      <c r="Q34" s="116"/>
      <c r="R34" s="117"/>
    </row>
    <row r="35" spans="1:18" s="148" customFormat="1" ht="18" customHeight="1" x14ac:dyDescent="0.25">
      <c r="A35" s="139">
        <v>7</v>
      </c>
      <c r="B35" s="139"/>
      <c r="C35" s="140"/>
      <c r="D35" s="140"/>
      <c r="E35" s="141" t="s">
        <v>55</v>
      </c>
      <c r="F35" s="140"/>
      <c r="G35" s="142"/>
      <c r="H35" s="143" t="s">
        <v>1503</v>
      </c>
      <c r="I35" s="144" t="s">
        <v>57</v>
      </c>
      <c r="J35" s="145">
        <f>11736*12</f>
        <v>140832</v>
      </c>
      <c r="K35" s="144" t="s">
        <v>57</v>
      </c>
      <c r="L35" s="145">
        <v>146880</v>
      </c>
      <c r="M35" s="146">
        <f>L35-J35</f>
        <v>6048</v>
      </c>
      <c r="N35" s="115">
        <f>L35-J35</f>
        <v>6048</v>
      </c>
      <c r="O35" s="115">
        <f>N35-M35</f>
        <v>0</v>
      </c>
      <c r="P35" s="116">
        <v>10773</v>
      </c>
      <c r="Q35" s="116">
        <f>P35*12</f>
        <v>129276</v>
      </c>
      <c r="R35" s="147">
        <f>Q35-L35</f>
        <v>-17604</v>
      </c>
    </row>
    <row r="36" spans="1:18" s="148" customFormat="1" ht="18" customHeight="1" x14ac:dyDescent="0.25">
      <c r="A36" s="139"/>
      <c r="B36" s="139"/>
      <c r="C36" s="140"/>
      <c r="D36" s="140"/>
      <c r="E36" s="141"/>
      <c r="F36" s="140"/>
      <c r="G36" s="142"/>
      <c r="H36" s="143"/>
      <c r="I36" s="144"/>
      <c r="J36" s="145"/>
      <c r="K36" s="144"/>
      <c r="L36" s="145"/>
      <c r="M36" s="146"/>
      <c r="N36" s="115"/>
      <c r="O36" s="115"/>
      <c r="P36" s="116"/>
      <c r="Q36" s="116"/>
      <c r="R36" s="147"/>
    </row>
    <row r="37" spans="1:18" s="148" customFormat="1" ht="18" customHeight="1" x14ac:dyDescent="0.25">
      <c r="A37" s="139"/>
      <c r="B37" s="139"/>
      <c r="C37" s="140"/>
      <c r="D37" s="140"/>
      <c r="E37" s="141"/>
      <c r="F37" s="140"/>
      <c r="G37" s="142"/>
      <c r="H37" s="143"/>
      <c r="I37" s="144"/>
      <c r="J37" s="151"/>
      <c r="K37" s="144"/>
      <c r="L37" s="151"/>
      <c r="M37" s="146"/>
      <c r="N37" s="115"/>
      <c r="O37" s="115"/>
      <c r="P37" s="116"/>
      <c r="Q37" s="116"/>
      <c r="R37" s="117"/>
    </row>
    <row r="38" spans="1:18" s="148" customFormat="1" ht="18" customHeight="1" x14ac:dyDescent="0.3">
      <c r="A38" s="139">
        <v>8</v>
      </c>
      <c r="B38" s="139"/>
      <c r="C38" s="140"/>
      <c r="D38" s="140"/>
      <c r="E38" s="141" t="s">
        <v>59</v>
      </c>
      <c r="F38" s="140"/>
      <c r="G38" s="142"/>
      <c r="H38" s="152" t="s">
        <v>900</v>
      </c>
      <c r="I38" s="144" t="s">
        <v>442</v>
      </c>
      <c r="J38" s="145">
        <f>11151*12</f>
        <v>133812</v>
      </c>
      <c r="K38" s="144" t="s">
        <v>442</v>
      </c>
      <c r="L38" s="145">
        <v>139500</v>
      </c>
      <c r="M38" s="146">
        <f>L38-J38</f>
        <v>5688</v>
      </c>
      <c r="N38" s="115">
        <f>L38-J38</f>
        <v>5688</v>
      </c>
      <c r="O38" s="115">
        <f>N38-M38</f>
        <v>0</v>
      </c>
      <c r="P38" s="116">
        <v>10127</v>
      </c>
      <c r="Q38" s="116">
        <f>P38*12</f>
        <v>121524</v>
      </c>
      <c r="R38" s="147">
        <f>Q38-L38</f>
        <v>-17976</v>
      </c>
    </row>
    <row r="39" spans="1:18" s="148" customFormat="1" ht="18" customHeight="1" x14ac:dyDescent="0.25">
      <c r="A39" s="139"/>
      <c r="B39" s="139"/>
      <c r="C39" s="140"/>
      <c r="D39" s="140"/>
      <c r="E39" s="141"/>
      <c r="F39" s="140"/>
      <c r="G39" s="142"/>
      <c r="H39" s="143"/>
      <c r="I39" s="144"/>
      <c r="J39" s="151"/>
      <c r="K39" s="144"/>
      <c r="L39" s="151"/>
      <c r="M39" s="146"/>
      <c r="N39" s="115"/>
      <c r="O39" s="115"/>
      <c r="P39" s="116"/>
      <c r="Q39" s="116"/>
      <c r="R39" s="117"/>
    </row>
    <row r="40" spans="1:18" s="148" customFormat="1" ht="18" customHeight="1" x14ac:dyDescent="0.25">
      <c r="A40" s="139"/>
      <c r="B40" s="139"/>
      <c r="C40" s="140"/>
      <c r="D40" s="140"/>
      <c r="E40" s="141"/>
      <c r="F40" s="140"/>
      <c r="G40" s="142"/>
      <c r="H40" s="143"/>
      <c r="I40" s="144"/>
      <c r="J40" s="151"/>
      <c r="K40" s="144"/>
      <c r="L40" s="151"/>
      <c r="M40" s="146"/>
      <c r="N40" s="115"/>
      <c r="O40" s="115"/>
      <c r="P40" s="116"/>
      <c r="Q40" s="116"/>
      <c r="R40" s="117"/>
    </row>
    <row r="41" spans="1:18" s="148" customFormat="1" ht="18" customHeight="1" x14ac:dyDescent="0.25">
      <c r="A41" s="139">
        <v>9</v>
      </c>
      <c r="B41" s="139"/>
      <c r="C41" s="140"/>
      <c r="D41" s="140"/>
      <c r="E41" s="141" t="s">
        <v>942</v>
      </c>
      <c r="F41" s="140"/>
      <c r="G41" s="142"/>
      <c r="H41" s="143" t="s">
        <v>61</v>
      </c>
      <c r="I41" s="154" t="s">
        <v>399</v>
      </c>
      <c r="J41" s="145">
        <f>18969*12</f>
        <v>227628</v>
      </c>
      <c r="K41" s="154" t="s">
        <v>399</v>
      </c>
      <c r="L41" s="145">
        <v>243540</v>
      </c>
      <c r="M41" s="146">
        <f>L41-J41</f>
        <v>15912</v>
      </c>
      <c r="N41" s="115">
        <f>L41-J41</f>
        <v>15912</v>
      </c>
      <c r="O41" s="115">
        <f>N41-M41</f>
        <v>0</v>
      </c>
      <c r="P41" s="116">
        <v>17152</v>
      </c>
      <c r="Q41" s="116">
        <f>P41*12</f>
        <v>205824</v>
      </c>
      <c r="R41" s="147">
        <f>Q41-L41</f>
        <v>-37716</v>
      </c>
    </row>
    <row r="42" spans="1:18" s="148" customFormat="1" ht="18" customHeight="1" x14ac:dyDescent="0.25">
      <c r="A42" s="139"/>
      <c r="B42" s="139"/>
      <c r="C42" s="140"/>
      <c r="D42" s="140"/>
      <c r="E42" s="141"/>
      <c r="F42" s="140"/>
      <c r="G42" s="142"/>
      <c r="H42" s="143"/>
      <c r="I42" s="144"/>
      <c r="J42" s="151"/>
      <c r="K42" s="154" t="s">
        <v>137</v>
      </c>
      <c r="L42" s="145">
        <v>246444</v>
      </c>
      <c r="M42" s="146">
        <v>1452</v>
      </c>
      <c r="N42" s="115"/>
      <c r="O42" s="115"/>
      <c r="P42" s="116"/>
      <c r="Q42" s="116"/>
      <c r="R42" s="117"/>
    </row>
    <row r="43" spans="1:18" s="148" customFormat="1" ht="18" customHeight="1" x14ac:dyDescent="0.25">
      <c r="A43" s="139"/>
      <c r="B43" s="139"/>
      <c r="C43" s="140"/>
      <c r="D43" s="140"/>
      <c r="E43" s="141"/>
      <c r="F43" s="140"/>
      <c r="G43" s="142"/>
      <c r="H43" s="143"/>
      <c r="I43" s="144"/>
      <c r="J43" s="151"/>
      <c r="K43" s="154"/>
      <c r="L43" s="151">
        <v>44397</v>
      </c>
      <c r="M43" s="146"/>
      <c r="N43" s="115"/>
      <c r="O43" s="115"/>
      <c r="P43" s="116"/>
      <c r="Q43" s="116"/>
      <c r="R43" s="117"/>
    </row>
    <row r="44" spans="1:18" s="148" customFormat="1" ht="18" customHeight="1" x14ac:dyDescent="0.25">
      <c r="A44" s="139"/>
      <c r="B44" s="139"/>
      <c r="C44" s="140"/>
      <c r="D44" s="140"/>
      <c r="E44" s="141" t="s">
        <v>63</v>
      </c>
      <c r="F44" s="140"/>
      <c r="G44" s="142"/>
      <c r="H44" s="143"/>
      <c r="I44" s="144"/>
      <c r="J44" s="145"/>
      <c r="K44" s="144"/>
      <c r="L44" s="151"/>
      <c r="M44" s="146"/>
      <c r="N44" s="115"/>
      <c r="O44" s="115"/>
      <c r="P44" s="116"/>
      <c r="Q44" s="116"/>
      <c r="R44" s="117"/>
    </row>
    <row r="45" spans="1:18" s="148" customFormat="1" ht="18" customHeight="1" x14ac:dyDescent="0.25">
      <c r="A45" s="139"/>
      <c r="B45" s="139"/>
      <c r="C45" s="140"/>
      <c r="D45" s="140"/>
      <c r="E45" s="149" t="s">
        <v>64</v>
      </c>
      <c r="F45" s="140"/>
      <c r="G45" s="153"/>
      <c r="H45" s="143"/>
      <c r="I45" s="144"/>
      <c r="J45" s="145"/>
      <c r="K45" s="144"/>
      <c r="L45" s="145"/>
      <c r="M45" s="146"/>
      <c r="N45" s="115"/>
      <c r="O45" s="115"/>
      <c r="P45" s="116"/>
      <c r="Q45" s="116"/>
      <c r="R45" s="117"/>
    </row>
    <row r="46" spans="1:18" s="148" customFormat="1" ht="18" customHeight="1" x14ac:dyDescent="0.25">
      <c r="A46" s="139"/>
      <c r="B46" s="139"/>
      <c r="C46" s="140"/>
      <c r="D46" s="140"/>
      <c r="E46" s="149"/>
      <c r="F46" s="140"/>
      <c r="G46" s="153"/>
      <c r="H46" s="143"/>
      <c r="I46" s="144"/>
      <c r="J46" s="145"/>
      <c r="K46" s="144"/>
      <c r="L46" s="145"/>
      <c r="M46" s="146"/>
      <c r="N46" s="115"/>
      <c r="O46" s="115"/>
      <c r="P46" s="116"/>
      <c r="Q46" s="116"/>
      <c r="R46" s="117"/>
    </row>
    <row r="47" spans="1:18" s="148" customFormat="1" ht="18" customHeight="1" x14ac:dyDescent="0.25">
      <c r="A47" s="139"/>
      <c r="B47" s="139"/>
      <c r="C47" s="140"/>
      <c r="D47" s="140"/>
      <c r="E47" s="141"/>
      <c r="F47" s="140"/>
      <c r="G47" s="142"/>
      <c r="H47" s="143"/>
      <c r="I47" s="144"/>
      <c r="J47" s="145"/>
      <c r="K47" s="144"/>
      <c r="L47" s="145"/>
      <c r="M47" s="146"/>
      <c r="N47" s="115"/>
      <c r="O47" s="115"/>
      <c r="P47" s="116"/>
      <c r="Q47" s="116"/>
      <c r="R47" s="117"/>
    </row>
    <row r="48" spans="1:18" s="148" customFormat="1" ht="18" customHeight="1" x14ac:dyDescent="0.25">
      <c r="A48" s="139">
        <v>10</v>
      </c>
      <c r="B48" s="139"/>
      <c r="C48" s="140"/>
      <c r="D48" s="140"/>
      <c r="E48" s="141" t="s">
        <v>437</v>
      </c>
      <c r="F48" s="140"/>
      <c r="G48" s="142"/>
      <c r="H48" s="143" t="s">
        <v>66</v>
      </c>
      <c r="I48" s="144" t="s">
        <v>441</v>
      </c>
      <c r="J48" s="145">
        <f>27566*12</f>
        <v>330792</v>
      </c>
      <c r="K48" s="144" t="s">
        <v>441</v>
      </c>
      <c r="L48" s="145">
        <v>346320</v>
      </c>
      <c r="M48" s="146">
        <f>L48-J48</f>
        <v>15528</v>
      </c>
      <c r="N48" s="115">
        <f>L48-J48</f>
        <v>15528</v>
      </c>
      <c r="O48" s="115">
        <f>N48-M48</f>
        <v>0</v>
      </c>
      <c r="P48" s="116">
        <v>17152</v>
      </c>
      <c r="Q48" s="116">
        <f>P48*12</f>
        <v>205824</v>
      </c>
      <c r="R48" s="147">
        <f>Q48-L48</f>
        <v>-140496</v>
      </c>
    </row>
    <row r="49" spans="1:18" s="148" customFormat="1" ht="18" customHeight="1" x14ac:dyDescent="0.25">
      <c r="A49" s="139"/>
      <c r="B49" s="139"/>
      <c r="C49" s="140"/>
      <c r="D49" s="140"/>
      <c r="E49" s="141"/>
      <c r="F49" s="140"/>
      <c r="G49" s="142"/>
      <c r="H49" s="143"/>
      <c r="I49" s="144"/>
      <c r="J49" s="145"/>
      <c r="K49" s="144"/>
      <c r="L49" s="145"/>
      <c r="M49" s="146"/>
      <c r="N49" s="115"/>
      <c r="O49" s="115"/>
      <c r="P49" s="116"/>
      <c r="Q49" s="116"/>
      <c r="R49" s="117"/>
    </row>
    <row r="50" spans="1:18" s="148" customFormat="1" ht="18" customHeight="1" x14ac:dyDescent="0.25">
      <c r="A50" s="139"/>
      <c r="B50" s="139"/>
      <c r="C50" s="140"/>
      <c r="D50" s="140"/>
      <c r="E50" s="141"/>
      <c r="F50" s="140"/>
      <c r="G50" s="142"/>
      <c r="H50" s="143"/>
      <c r="I50" s="144"/>
      <c r="J50" s="151"/>
      <c r="K50" s="144"/>
      <c r="L50" s="151"/>
      <c r="M50" s="146"/>
      <c r="N50" s="115"/>
      <c r="O50" s="115"/>
      <c r="P50" s="116"/>
      <c r="Q50" s="116"/>
      <c r="R50" s="117"/>
    </row>
    <row r="51" spans="1:18" s="148" customFormat="1" ht="18" customHeight="1" x14ac:dyDescent="0.25">
      <c r="A51" s="139"/>
      <c r="B51" s="139"/>
      <c r="C51" s="140"/>
      <c r="D51" s="140"/>
      <c r="E51" s="141"/>
      <c r="F51" s="140"/>
      <c r="G51" s="142"/>
      <c r="H51" s="143"/>
      <c r="I51" s="144"/>
      <c r="J51" s="145"/>
      <c r="K51" s="144"/>
      <c r="L51" s="145"/>
      <c r="M51" s="146"/>
      <c r="N51" s="115"/>
      <c r="O51" s="115"/>
      <c r="P51" s="116"/>
      <c r="Q51" s="116"/>
      <c r="R51" s="117"/>
    </row>
    <row r="52" spans="1:18" s="148" customFormat="1" ht="18" customHeight="1" x14ac:dyDescent="0.25">
      <c r="A52" s="139">
        <v>11</v>
      </c>
      <c r="B52" s="139"/>
      <c r="C52" s="140"/>
      <c r="D52" s="140"/>
      <c r="E52" s="141" t="s">
        <v>65</v>
      </c>
      <c r="F52" s="140"/>
      <c r="G52" s="142"/>
      <c r="H52" s="143" t="s">
        <v>253</v>
      </c>
      <c r="I52" s="144" t="s">
        <v>399</v>
      </c>
      <c r="J52" s="145">
        <f>18969*12</f>
        <v>227628</v>
      </c>
      <c r="K52" s="144" t="s">
        <v>399</v>
      </c>
      <c r="L52" s="145">
        <v>243540</v>
      </c>
      <c r="M52" s="146">
        <f>L52-J52</f>
        <v>15912</v>
      </c>
      <c r="N52" s="115">
        <f>L52-J52</f>
        <v>15912</v>
      </c>
      <c r="O52" s="115">
        <f>N52-M52</f>
        <v>0</v>
      </c>
      <c r="P52" s="116">
        <v>24659</v>
      </c>
      <c r="Q52" s="116">
        <f>P52*12</f>
        <v>295908</v>
      </c>
      <c r="R52" s="147">
        <f>Q52-L52</f>
        <v>52368</v>
      </c>
    </row>
    <row r="53" spans="1:18" s="148" customFormat="1" ht="18" customHeight="1" x14ac:dyDescent="0.25">
      <c r="A53" s="139"/>
      <c r="B53" s="139"/>
      <c r="C53" s="140"/>
      <c r="D53" s="140"/>
      <c r="E53" s="141"/>
      <c r="F53" s="140"/>
      <c r="G53" s="142"/>
      <c r="H53" s="143"/>
      <c r="I53" s="154"/>
      <c r="J53" s="145"/>
      <c r="K53" s="154"/>
      <c r="L53" s="145"/>
      <c r="M53" s="146"/>
      <c r="N53" s="115"/>
      <c r="O53" s="115"/>
      <c r="P53" s="116"/>
      <c r="Q53" s="116"/>
      <c r="R53" s="117"/>
    </row>
    <row r="54" spans="1:18" s="148" customFormat="1" ht="18" customHeight="1" x14ac:dyDescent="0.25">
      <c r="A54" s="156"/>
      <c r="B54" s="156"/>
      <c r="C54" s="140"/>
      <c r="D54" s="140"/>
      <c r="E54" s="156"/>
      <c r="F54" s="157"/>
      <c r="G54" s="142"/>
      <c r="H54" s="143"/>
      <c r="I54" s="158"/>
      <c r="J54" s="145"/>
      <c r="K54" s="158"/>
      <c r="L54" s="145"/>
      <c r="M54" s="145"/>
      <c r="N54" s="115"/>
      <c r="O54" s="115"/>
      <c r="P54" s="116"/>
      <c r="Q54" s="116"/>
      <c r="R54" s="117"/>
    </row>
    <row r="55" spans="1:18" s="170" customFormat="1" ht="18" customHeight="1" thickBot="1" x14ac:dyDescent="0.3">
      <c r="A55" s="159"/>
      <c r="B55" s="159"/>
      <c r="C55" s="160"/>
      <c r="D55" s="160"/>
      <c r="E55" s="159"/>
      <c r="F55" s="161"/>
      <c r="G55" s="162"/>
      <c r="H55" s="163" t="s">
        <v>15</v>
      </c>
      <c r="I55" s="164"/>
      <c r="J55" s="165">
        <f>SUM(J15:J54)</f>
        <v>3248016</v>
      </c>
      <c r="K55" s="165"/>
      <c r="L55" s="165"/>
      <c r="M55" s="166">
        <f>SUM(M15:M54)</f>
        <v>126642</v>
      </c>
      <c r="N55" s="167"/>
      <c r="O55" s="167"/>
      <c r="P55" s="168"/>
      <c r="Q55" s="168"/>
      <c r="R55" s="169"/>
    </row>
    <row r="56" spans="1:18" s="148" customFormat="1" ht="18" customHeight="1" thickTop="1" x14ac:dyDescent="0.25">
      <c r="A56" s="157"/>
      <c r="B56" s="157"/>
      <c r="C56" s="140"/>
      <c r="D56" s="140"/>
      <c r="E56" s="157"/>
      <c r="F56" s="157"/>
      <c r="G56" s="157"/>
      <c r="H56" s="157"/>
      <c r="I56" s="157"/>
      <c r="J56" s="171"/>
      <c r="K56" s="154"/>
      <c r="L56" s="172"/>
      <c r="M56" s="173"/>
      <c r="N56" s="115"/>
      <c r="O56" s="115"/>
      <c r="P56" s="116"/>
      <c r="Q56" s="116"/>
      <c r="R56" s="117"/>
    </row>
    <row r="57" spans="1:18" s="148" customFormat="1" ht="18" customHeight="1" x14ac:dyDescent="0.25">
      <c r="A57" s="157"/>
      <c r="B57" s="157"/>
      <c r="C57" s="140"/>
      <c r="D57" s="140"/>
      <c r="E57" s="157"/>
      <c r="F57" s="157"/>
      <c r="G57" s="157"/>
      <c r="H57" s="157"/>
      <c r="I57" s="157"/>
      <c r="J57" s="157"/>
      <c r="K57" s="174"/>
      <c r="L57" s="172"/>
      <c r="M57" s="172"/>
      <c r="N57" s="115"/>
      <c r="O57" s="115"/>
      <c r="P57" s="116"/>
      <c r="Q57" s="116"/>
      <c r="R57" s="117"/>
    </row>
    <row r="58" spans="1:18" s="148" customFormat="1" ht="18" customHeight="1" x14ac:dyDescent="0.25">
      <c r="A58" s="157"/>
      <c r="B58" s="157"/>
      <c r="C58" s="140"/>
      <c r="D58" s="140"/>
      <c r="E58" s="157"/>
      <c r="F58" s="157"/>
      <c r="G58" s="157"/>
      <c r="H58" s="157"/>
      <c r="I58" s="157"/>
      <c r="J58" s="157"/>
      <c r="K58" s="174"/>
      <c r="L58" s="172"/>
      <c r="M58" s="172"/>
      <c r="N58" s="115"/>
      <c r="O58" s="115"/>
      <c r="P58" s="116"/>
      <c r="Q58" s="116"/>
      <c r="R58" s="117"/>
    </row>
    <row r="59" spans="1:18" s="148" customFormat="1" ht="18" customHeight="1" x14ac:dyDescent="0.25">
      <c r="A59" s="175" t="s">
        <v>636</v>
      </c>
      <c r="B59" s="175"/>
      <c r="C59" s="932"/>
      <c r="D59" s="932"/>
      <c r="E59" s="176"/>
      <c r="F59" s="176"/>
      <c r="G59" s="176"/>
      <c r="H59" s="175" t="s">
        <v>637</v>
      </c>
      <c r="I59" s="176"/>
      <c r="K59" s="175" t="s">
        <v>264</v>
      </c>
      <c r="L59" s="177"/>
      <c r="M59" s="177"/>
      <c r="N59" s="115"/>
      <c r="O59" s="115"/>
      <c r="P59" s="116"/>
      <c r="Q59" s="116"/>
      <c r="R59" s="117"/>
    </row>
    <row r="60" spans="1:18" s="148" customFormat="1" ht="18" customHeight="1" x14ac:dyDescent="0.25">
      <c r="A60" s="176"/>
      <c r="B60" s="176"/>
      <c r="C60" s="933"/>
      <c r="D60" s="933"/>
      <c r="E60" s="176"/>
      <c r="F60" s="176"/>
      <c r="G60" s="176"/>
      <c r="H60" s="176"/>
      <c r="I60" s="176"/>
      <c r="J60" s="176"/>
      <c r="K60" s="178"/>
      <c r="L60" s="177"/>
      <c r="M60" s="177"/>
      <c r="N60" s="115"/>
      <c r="O60" s="115"/>
      <c r="P60" s="116"/>
      <c r="Q60" s="116"/>
      <c r="R60" s="117"/>
    </row>
    <row r="61" spans="1:18" s="148" customFormat="1" ht="18" customHeight="1" x14ac:dyDescent="0.25">
      <c r="A61" s="1131" t="s">
        <v>66</v>
      </c>
      <c r="B61" s="1131"/>
      <c r="C61" s="1131"/>
      <c r="D61" s="1131"/>
      <c r="E61" s="1131"/>
      <c r="F61" s="1131"/>
      <c r="G61" s="176"/>
      <c r="H61" s="1131" t="s">
        <v>17</v>
      </c>
      <c r="I61" s="1131"/>
      <c r="J61" s="176"/>
      <c r="K61" s="1131" t="s">
        <v>1493</v>
      </c>
      <c r="L61" s="1131"/>
      <c r="M61" s="1131"/>
      <c r="N61" s="115"/>
      <c r="O61" s="115"/>
      <c r="P61" s="116"/>
      <c r="Q61" s="116"/>
      <c r="R61" s="117"/>
    </row>
    <row r="62" spans="1:18" s="148" customFormat="1" ht="18" customHeight="1" x14ac:dyDescent="0.25">
      <c r="A62" s="1132" t="s">
        <v>437</v>
      </c>
      <c r="B62" s="1132"/>
      <c r="C62" s="1132"/>
      <c r="D62" s="1132"/>
      <c r="E62" s="1132"/>
      <c r="F62" s="1132"/>
      <c r="G62" s="179"/>
      <c r="H62" s="1132" t="s">
        <v>18</v>
      </c>
      <c r="I62" s="1132"/>
      <c r="J62" s="932"/>
      <c r="K62" s="1132" t="s">
        <v>14</v>
      </c>
      <c r="L62" s="1132"/>
      <c r="M62" s="1132"/>
      <c r="N62" s="115"/>
      <c r="O62" s="115"/>
      <c r="P62" s="116"/>
      <c r="Q62" s="116"/>
      <c r="R62" s="117"/>
    </row>
    <row r="63" spans="1:18" ht="18" customHeight="1" x14ac:dyDescent="0.2">
      <c r="A63" s="111"/>
      <c r="B63" s="111"/>
      <c r="C63" s="930"/>
      <c r="D63" s="930"/>
      <c r="E63" s="1121"/>
      <c r="F63" s="1121"/>
      <c r="G63" s="1121"/>
      <c r="I63" s="930"/>
      <c r="J63" s="930"/>
    </row>
    <row r="64" spans="1:18" ht="18" customHeight="1" x14ac:dyDescent="0.2">
      <c r="A64" s="111"/>
      <c r="B64" s="111"/>
      <c r="C64" s="930"/>
      <c r="D64" s="930"/>
      <c r="E64" s="930"/>
      <c r="F64" s="930"/>
      <c r="G64" s="930"/>
      <c r="I64" s="930"/>
      <c r="J64" s="930"/>
    </row>
    <row r="65" spans="1:18" ht="18" customHeight="1" x14ac:dyDescent="0.2">
      <c r="A65" s="111"/>
      <c r="B65" s="111"/>
      <c r="C65" s="930"/>
      <c r="D65" s="930"/>
      <c r="E65" s="930"/>
      <c r="F65" s="930"/>
      <c r="G65" s="930"/>
      <c r="I65" s="930"/>
      <c r="J65" s="930"/>
    </row>
    <row r="66" spans="1:18" ht="18" customHeight="1" x14ac:dyDescent="0.2">
      <c r="A66" s="111"/>
      <c r="B66" s="111"/>
      <c r="C66" s="930"/>
      <c r="D66" s="930"/>
      <c r="E66" s="930"/>
      <c r="F66" s="930"/>
      <c r="G66" s="930"/>
      <c r="I66" s="930"/>
      <c r="J66" s="930"/>
    </row>
    <row r="67" spans="1:18" ht="18" customHeight="1" x14ac:dyDescent="0.2">
      <c r="A67" s="111"/>
      <c r="B67" s="111"/>
      <c r="C67" s="930"/>
      <c r="D67" s="930"/>
      <c r="E67" s="930"/>
      <c r="F67" s="930"/>
      <c r="G67" s="930"/>
      <c r="I67" s="930"/>
      <c r="J67" s="930"/>
    </row>
    <row r="68" spans="1:18" ht="18" customHeight="1" x14ac:dyDescent="0.2">
      <c r="A68" s="111"/>
      <c r="B68" s="111"/>
      <c r="C68" s="930"/>
      <c r="D68" s="930"/>
      <c r="E68" s="930"/>
      <c r="F68" s="930"/>
      <c r="G68" s="930"/>
      <c r="I68" s="930"/>
      <c r="J68" s="930"/>
    </row>
    <row r="69" spans="1:18" ht="18" customHeight="1" x14ac:dyDescent="0.2">
      <c r="A69" s="111"/>
      <c r="B69" s="111"/>
      <c r="C69" s="930"/>
      <c r="D69" s="930"/>
      <c r="E69" s="930"/>
      <c r="F69" s="930"/>
      <c r="G69" s="930"/>
      <c r="I69" s="930"/>
      <c r="J69" s="930"/>
    </row>
    <row r="70" spans="1:18" ht="18" customHeight="1" x14ac:dyDescent="0.2">
      <c r="A70" s="111"/>
      <c r="B70" s="111"/>
      <c r="C70" s="930"/>
      <c r="D70" s="930"/>
      <c r="E70" s="1141"/>
      <c r="F70" s="1141"/>
      <c r="G70" s="1141"/>
      <c r="H70" s="1141"/>
      <c r="I70" s="1141"/>
      <c r="J70" s="111"/>
      <c r="K70" s="112"/>
      <c r="M70" s="113"/>
    </row>
    <row r="71" spans="1:18" s="181" customFormat="1" ht="20.100000000000001" customHeight="1" x14ac:dyDescent="0.35">
      <c r="A71" s="1142" t="s">
        <v>1000</v>
      </c>
      <c r="B71" s="1142"/>
      <c r="C71" s="1142"/>
      <c r="D71" s="1142"/>
      <c r="E71" s="1142"/>
      <c r="F71" s="1142"/>
      <c r="G71" s="1142"/>
      <c r="H71" s="1142"/>
      <c r="I71" s="1142"/>
      <c r="J71" s="1142"/>
      <c r="K71" s="1142"/>
      <c r="L71" s="1142"/>
      <c r="M71" s="1142"/>
      <c r="N71" s="115"/>
      <c r="O71" s="115"/>
      <c r="P71" s="116"/>
      <c r="Q71" s="116"/>
      <c r="R71" s="117"/>
    </row>
    <row r="72" spans="1:18" ht="18" customHeight="1" x14ac:dyDescent="0.2">
      <c r="A72" s="110"/>
      <c r="B72" s="110"/>
      <c r="C72" s="937"/>
      <c r="D72" s="937"/>
      <c r="E72" s="111"/>
      <c r="F72" s="111"/>
      <c r="G72" s="111"/>
      <c r="H72" s="111"/>
      <c r="I72" s="111"/>
      <c r="J72" s="111"/>
      <c r="K72" s="112"/>
      <c r="M72" s="114"/>
    </row>
    <row r="73" spans="1:18" ht="18" customHeight="1" x14ac:dyDescent="0.3">
      <c r="A73" s="1119" t="s">
        <v>1549</v>
      </c>
      <c r="B73" s="1119"/>
      <c r="C73" s="1119"/>
      <c r="D73" s="1119"/>
      <c r="E73" s="1119"/>
      <c r="F73" s="1119"/>
      <c r="G73" s="1119"/>
      <c r="H73" s="1119"/>
      <c r="I73" s="1119"/>
      <c r="J73" s="1119"/>
      <c r="K73" s="1119"/>
      <c r="L73" s="1119"/>
      <c r="M73" s="1119"/>
    </row>
    <row r="74" spans="1:18" ht="18" customHeight="1" x14ac:dyDescent="0.3">
      <c r="A74" s="1120" t="s">
        <v>364</v>
      </c>
      <c r="B74" s="1120"/>
      <c r="C74" s="1120"/>
      <c r="D74" s="1120"/>
      <c r="E74" s="1120"/>
      <c r="F74" s="1120"/>
      <c r="G74" s="1120"/>
      <c r="H74" s="1120"/>
      <c r="I74" s="1120"/>
      <c r="J74" s="1120"/>
      <c r="K74" s="1120"/>
      <c r="L74" s="1120"/>
      <c r="M74" s="1120"/>
    </row>
    <row r="75" spans="1:18" ht="18" customHeight="1" x14ac:dyDescent="0.2">
      <c r="A75" s="1121"/>
      <c r="B75" s="1121"/>
      <c r="C75" s="1121"/>
      <c r="D75" s="1121"/>
      <c r="E75" s="1121"/>
      <c r="F75" s="1121"/>
      <c r="G75" s="1121"/>
      <c r="H75" s="1121"/>
      <c r="I75" s="1121"/>
      <c r="J75" s="1121"/>
      <c r="K75" s="1121"/>
      <c r="L75" s="1121"/>
      <c r="M75" s="1121"/>
    </row>
    <row r="76" spans="1:18" ht="18" customHeight="1" x14ac:dyDescent="0.2">
      <c r="A76" s="930"/>
      <c r="B76" s="930"/>
      <c r="C76" s="930"/>
      <c r="D76" s="930"/>
      <c r="E76" s="930"/>
      <c r="F76" s="930"/>
      <c r="G76" s="930"/>
      <c r="H76" s="930"/>
      <c r="I76" s="930"/>
      <c r="J76" s="930"/>
      <c r="K76" s="930"/>
      <c r="L76" s="930"/>
      <c r="M76" s="930"/>
    </row>
    <row r="77" spans="1:18" ht="18" customHeight="1" x14ac:dyDescent="0.2">
      <c r="A77" s="111" t="s">
        <v>457</v>
      </c>
      <c r="B77" s="111"/>
      <c r="C77" s="930" t="s">
        <v>455</v>
      </c>
      <c r="D77" s="111" t="s">
        <v>305</v>
      </c>
      <c r="F77" s="111"/>
      <c r="G77" s="930"/>
      <c r="H77" s="930"/>
      <c r="I77" s="930"/>
      <c r="J77" s="930"/>
      <c r="K77" s="930"/>
      <c r="L77" s="930"/>
      <c r="M77" s="930"/>
    </row>
    <row r="78" spans="1:18" ht="18" customHeight="1" x14ac:dyDescent="0.2">
      <c r="A78" s="111" t="s">
        <v>458</v>
      </c>
      <c r="B78" s="111"/>
      <c r="C78" s="930" t="s">
        <v>455</v>
      </c>
      <c r="D78" s="111" t="s">
        <v>460</v>
      </c>
      <c r="F78" s="111"/>
      <c r="G78" s="930"/>
      <c r="H78" s="930"/>
      <c r="I78" s="930"/>
      <c r="J78" s="930"/>
      <c r="K78" s="930"/>
      <c r="L78" s="930"/>
      <c r="M78" s="930"/>
    </row>
    <row r="79" spans="1:18" ht="18" customHeight="1" thickBot="1" x14ac:dyDescent="0.25">
      <c r="A79" s="111" t="s">
        <v>459</v>
      </c>
      <c r="B79" s="111"/>
      <c r="C79" s="930" t="s">
        <v>455</v>
      </c>
      <c r="D79" s="111" t="s">
        <v>461</v>
      </c>
      <c r="F79" s="111"/>
      <c r="G79" s="930"/>
      <c r="H79" s="930"/>
      <c r="I79" s="930"/>
      <c r="J79" s="930"/>
      <c r="K79" s="930"/>
      <c r="L79" s="930"/>
      <c r="M79" s="930"/>
    </row>
    <row r="80" spans="1:18" ht="18" customHeight="1" x14ac:dyDescent="0.2">
      <c r="A80" s="1122" t="s">
        <v>642</v>
      </c>
      <c r="B80" s="1123"/>
      <c r="C80" s="1123"/>
      <c r="D80" s="1123"/>
      <c r="E80" s="1124"/>
      <c r="F80" s="1123"/>
      <c r="G80" s="1125"/>
      <c r="H80" s="121"/>
      <c r="I80" s="1126" t="s">
        <v>646</v>
      </c>
      <c r="J80" s="1127"/>
      <c r="K80" s="1126" t="s">
        <v>646</v>
      </c>
      <c r="L80" s="1127"/>
      <c r="M80" s="122"/>
    </row>
    <row r="81" spans="1:18" ht="18" customHeight="1" x14ac:dyDescent="0.25">
      <c r="A81" s="123" t="s">
        <v>643</v>
      </c>
      <c r="B81" s="1133" t="s">
        <v>644</v>
      </c>
      <c r="C81" s="1134"/>
      <c r="D81" s="1135"/>
      <c r="E81" s="1136" t="s">
        <v>45</v>
      </c>
      <c r="F81" s="1137"/>
      <c r="G81" s="1138"/>
      <c r="H81" s="934" t="s">
        <v>46</v>
      </c>
      <c r="I81" s="1136" t="s">
        <v>1492</v>
      </c>
      <c r="J81" s="1138"/>
      <c r="K81" s="1137" t="s">
        <v>1550</v>
      </c>
      <c r="L81" s="1138"/>
      <c r="M81" s="124" t="s">
        <v>47</v>
      </c>
      <c r="N81" s="182"/>
    </row>
    <row r="82" spans="1:18" ht="18" customHeight="1" x14ac:dyDescent="0.25">
      <c r="A82" s="125"/>
      <c r="B82" s="934"/>
      <c r="C82" s="935"/>
      <c r="D82" s="935"/>
      <c r="E82" s="934"/>
      <c r="F82" s="935"/>
      <c r="G82" s="936"/>
      <c r="H82" s="934" t="s">
        <v>48</v>
      </c>
      <c r="I82" s="1139" t="s">
        <v>1551</v>
      </c>
      <c r="J82" s="1140"/>
      <c r="K82" s="1139"/>
      <c r="L82" s="1140"/>
      <c r="M82" s="124" t="s">
        <v>49</v>
      </c>
      <c r="N82" s="182"/>
    </row>
    <row r="83" spans="1:18" ht="18" customHeight="1" x14ac:dyDescent="0.25">
      <c r="A83" s="125"/>
      <c r="B83" s="934"/>
      <c r="C83" s="935"/>
      <c r="D83" s="935"/>
      <c r="E83" s="934"/>
      <c r="F83" s="935"/>
      <c r="G83" s="126"/>
      <c r="H83" s="127"/>
      <c r="I83" s="128" t="s">
        <v>645</v>
      </c>
      <c r="J83" s="129" t="s">
        <v>50</v>
      </c>
      <c r="K83" s="128" t="s">
        <v>645</v>
      </c>
      <c r="L83" s="129" t="s">
        <v>50</v>
      </c>
      <c r="M83" s="124"/>
      <c r="N83" s="182"/>
    </row>
    <row r="84" spans="1:18" ht="18" customHeight="1" thickBot="1" x14ac:dyDescent="0.3">
      <c r="A84" s="130"/>
      <c r="B84" s="1128"/>
      <c r="C84" s="1129"/>
      <c r="D84" s="1130"/>
      <c r="E84" s="1128"/>
      <c r="F84" s="1129"/>
      <c r="G84" s="1130"/>
      <c r="H84" s="131"/>
      <c r="I84" s="131"/>
      <c r="J84" s="131"/>
      <c r="K84" s="131"/>
      <c r="L84" s="131"/>
      <c r="M84" s="132"/>
      <c r="N84" s="182"/>
    </row>
    <row r="85" spans="1:18" ht="18" customHeight="1" x14ac:dyDescent="0.2">
      <c r="A85" s="183"/>
      <c r="B85" s="119"/>
      <c r="C85" s="119"/>
      <c r="D85" s="119"/>
      <c r="E85" s="133"/>
      <c r="F85" s="119"/>
      <c r="G85" s="134"/>
      <c r="H85" s="135"/>
      <c r="I85" s="184"/>
      <c r="J85" s="137"/>
      <c r="K85" s="184"/>
      <c r="L85" s="137"/>
      <c r="M85" s="137"/>
    </row>
    <row r="86" spans="1:18" s="148" customFormat="1" ht="18" customHeight="1" x14ac:dyDescent="0.25">
      <c r="A86" s="185">
        <v>1</v>
      </c>
      <c r="B86" s="140"/>
      <c r="C86" s="140"/>
      <c r="D86" s="186"/>
      <c r="E86" s="142" t="s">
        <v>23</v>
      </c>
      <c r="F86" s="140"/>
      <c r="G86" s="142"/>
      <c r="H86" s="143" t="s">
        <v>51</v>
      </c>
      <c r="I86" s="187" t="s">
        <v>1489</v>
      </c>
      <c r="J86" s="145">
        <f>82437*12</f>
        <v>989244</v>
      </c>
      <c r="K86" s="187" t="s">
        <v>1489</v>
      </c>
      <c r="L86" s="145">
        <v>1008636</v>
      </c>
      <c r="M86" s="146">
        <f>L86-J86</f>
        <v>19392</v>
      </c>
      <c r="N86" s="115">
        <f>L86-J86</f>
        <v>19392</v>
      </c>
      <c r="O86" s="115">
        <f>N86-M86</f>
        <v>0</v>
      </c>
      <c r="P86" s="116">
        <v>71123</v>
      </c>
      <c r="Q86" s="116">
        <f>P86*12</f>
        <v>853476</v>
      </c>
      <c r="R86" s="147">
        <f>Q86-L86</f>
        <v>-155160</v>
      </c>
    </row>
    <row r="87" spans="1:18" s="148" customFormat="1" ht="18" customHeight="1" x14ac:dyDescent="0.25">
      <c r="A87" s="185"/>
      <c r="B87" s="140"/>
      <c r="C87" s="140"/>
      <c r="D87" s="186"/>
      <c r="E87" s="157"/>
      <c r="F87" s="140"/>
      <c r="G87" s="142"/>
      <c r="H87" s="143"/>
      <c r="I87" s="187"/>
      <c r="J87" s="145"/>
      <c r="K87" s="187"/>
      <c r="L87" s="145"/>
      <c r="M87" s="146"/>
      <c r="N87" s="115"/>
      <c r="O87" s="115"/>
      <c r="P87" s="116"/>
      <c r="Q87" s="116"/>
      <c r="R87" s="147"/>
    </row>
    <row r="88" spans="1:18" s="148" customFormat="1" ht="18" customHeight="1" x14ac:dyDescent="0.25">
      <c r="A88" s="185"/>
      <c r="B88" s="140"/>
      <c r="C88" s="140"/>
      <c r="D88" s="186"/>
      <c r="E88" s="157"/>
      <c r="F88" s="140"/>
      <c r="G88" s="142"/>
      <c r="H88" s="143"/>
      <c r="I88" s="187"/>
      <c r="J88" s="155"/>
      <c r="K88" s="187"/>
      <c r="L88" s="155"/>
      <c r="M88" s="146"/>
      <c r="N88" s="115"/>
      <c r="O88" s="115"/>
      <c r="P88" s="116"/>
      <c r="Q88" s="116"/>
      <c r="R88" s="147"/>
    </row>
    <row r="89" spans="1:18" s="148" customFormat="1" ht="18" customHeight="1" x14ac:dyDescent="0.25">
      <c r="A89" s="185"/>
      <c r="B89" s="140"/>
      <c r="C89" s="140"/>
      <c r="D89" s="140"/>
      <c r="E89" s="156"/>
      <c r="F89" s="140"/>
      <c r="G89" s="142"/>
      <c r="H89" s="143"/>
      <c r="I89" s="188"/>
      <c r="J89" s="145"/>
      <c r="K89" s="188"/>
      <c r="L89" s="145"/>
      <c r="M89" s="146"/>
      <c r="N89" s="115"/>
      <c r="O89" s="115"/>
      <c r="P89" s="116"/>
      <c r="Q89" s="116"/>
      <c r="R89" s="117"/>
    </row>
    <row r="90" spans="1:18" s="148" customFormat="1" ht="18" customHeight="1" x14ac:dyDescent="0.25">
      <c r="A90" s="185">
        <v>2</v>
      </c>
      <c r="B90" s="140"/>
      <c r="C90" s="140"/>
      <c r="D90" s="140"/>
      <c r="E90" s="156" t="s">
        <v>68</v>
      </c>
      <c r="F90" s="140"/>
      <c r="G90" s="142"/>
      <c r="H90" s="143" t="s">
        <v>251</v>
      </c>
      <c r="I90" s="187" t="s">
        <v>69</v>
      </c>
      <c r="J90" s="145">
        <f>72313*12</f>
        <v>867756</v>
      </c>
      <c r="K90" s="187" t="s">
        <v>69</v>
      </c>
      <c r="L90" s="145">
        <v>884772</v>
      </c>
      <c r="M90" s="146">
        <f>L90-J90</f>
        <v>17016</v>
      </c>
      <c r="N90" s="115">
        <f>L90-J90</f>
        <v>17016</v>
      </c>
      <c r="O90" s="115">
        <f>N90-M90</f>
        <v>0</v>
      </c>
      <c r="P90" s="116">
        <v>62304</v>
      </c>
      <c r="Q90" s="116">
        <f>P90*12</f>
        <v>747648</v>
      </c>
      <c r="R90" s="147">
        <f>Q90-L90</f>
        <v>-137124</v>
      </c>
    </row>
    <row r="91" spans="1:18" s="148" customFormat="1" ht="18" customHeight="1" x14ac:dyDescent="0.25">
      <c r="A91" s="185"/>
      <c r="B91" s="140"/>
      <c r="C91" s="140"/>
      <c r="D91" s="140"/>
      <c r="E91" s="156"/>
      <c r="F91" s="140"/>
      <c r="G91" s="142"/>
      <c r="H91" s="143"/>
      <c r="I91" s="187"/>
      <c r="J91" s="145"/>
      <c r="K91" s="187"/>
      <c r="L91" s="145"/>
      <c r="M91" s="146"/>
      <c r="N91" s="115"/>
      <c r="O91" s="115"/>
      <c r="P91" s="116"/>
      <c r="Q91" s="116"/>
      <c r="R91" s="147"/>
    </row>
    <row r="92" spans="1:18" s="148" customFormat="1" ht="18" customHeight="1" x14ac:dyDescent="0.25">
      <c r="A92" s="185"/>
      <c r="B92" s="140"/>
      <c r="C92" s="140"/>
      <c r="D92" s="140"/>
      <c r="E92" s="156"/>
      <c r="F92" s="140"/>
      <c r="G92" s="142"/>
      <c r="H92" s="143"/>
      <c r="I92" s="187"/>
      <c r="J92" s="155"/>
      <c r="K92" s="187"/>
      <c r="L92" s="155"/>
      <c r="M92" s="146"/>
      <c r="N92" s="115"/>
      <c r="O92" s="115"/>
      <c r="P92" s="116"/>
      <c r="Q92" s="116"/>
      <c r="R92" s="147"/>
    </row>
    <row r="93" spans="1:18" s="148" customFormat="1" ht="18" customHeight="1" x14ac:dyDescent="0.25">
      <c r="A93" s="185"/>
      <c r="B93" s="140"/>
      <c r="C93" s="140"/>
      <c r="D93" s="140"/>
      <c r="E93" s="156"/>
      <c r="F93" s="140"/>
      <c r="G93" s="142"/>
      <c r="H93" s="143"/>
      <c r="I93" s="188"/>
      <c r="J93" s="145"/>
      <c r="K93" s="188"/>
      <c r="L93" s="145"/>
      <c r="M93" s="146"/>
      <c r="N93" s="115"/>
      <c r="O93" s="115"/>
      <c r="P93" s="116"/>
      <c r="Q93" s="116"/>
      <c r="R93" s="117"/>
    </row>
    <row r="94" spans="1:18" s="148" customFormat="1" ht="18" customHeight="1" x14ac:dyDescent="0.25">
      <c r="A94" s="185">
        <v>3</v>
      </c>
      <c r="B94" s="140"/>
      <c r="C94" s="140"/>
      <c r="D94" s="140"/>
      <c r="E94" s="156" t="s">
        <v>68</v>
      </c>
      <c r="F94" s="140"/>
      <c r="G94" s="142"/>
      <c r="H94" s="143" t="s">
        <v>444</v>
      </c>
      <c r="I94" s="187" t="s">
        <v>225</v>
      </c>
      <c r="J94" s="145">
        <f>73493*12</f>
        <v>881916</v>
      </c>
      <c r="K94" s="187" t="s">
        <v>225</v>
      </c>
      <c r="L94" s="145">
        <v>899208</v>
      </c>
      <c r="M94" s="146">
        <f>L94-J94</f>
        <v>17292</v>
      </c>
      <c r="N94" s="115">
        <f>L94-J94</f>
        <v>17292</v>
      </c>
      <c r="O94" s="115">
        <f>N94-M94</f>
        <v>0</v>
      </c>
      <c r="P94" s="116">
        <v>62304</v>
      </c>
      <c r="Q94" s="116">
        <f>P94*12</f>
        <v>747648</v>
      </c>
      <c r="R94" s="147">
        <f>Q94-L94</f>
        <v>-151560</v>
      </c>
    </row>
    <row r="95" spans="1:18" s="148" customFormat="1" ht="18" customHeight="1" x14ac:dyDescent="0.25">
      <c r="A95" s="185"/>
      <c r="B95" s="140"/>
      <c r="C95" s="140"/>
      <c r="D95" s="140"/>
      <c r="E95" s="156"/>
      <c r="F95" s="140"/>
      <c r="G95" s="142"/>
      <c r="H95" s="143"/>
      <c r="I95" s="187"/>
      <c r="J95" s="145"/>
      <c r="K95" s="187"/>
      <c r="L95" s="145"/>
      <c r="M95" s="146"/>
      <c r="N95" s="115"/>
      <c r="O95" s="115"/>
      <c r="P95" s="116"/>
      <c r="Q95" s="116"/>
      <c r="R95" s="147"/>
    </row>
    <row r="96" spans="1:18" s="148" customFormat="1" ht="18" customHeight="1" x14ac:dyDescent="0.25">
      <c r="A96" s="185"/>
      <c r="B96" s="140"/>
      <c r="C96" s="140"/>
      <c r="D96" s="140"/>
      <c r="E96" s="156"/>
      <c r="F96" s="140"/>
      <c r="G96" s="142"/>
      <c r="H96" s="143"/>
      <c r="I96" s="187"/>
      <c r="J96" s="155"/>
      <c r="K96" s="187"/>
      <c r="L96" s="155"/>
      <c r="M96" s="146"/>
      <c r="N96" s="115"/>
      <c r="O96" s="115"/>
      <c r="P96" s="116"/>
      <c r="Q96" s="116"/>
      <c r="R96" s="147"/>
    </row>
    <row r="97" spans="1:18" s="148" customFormat="1" ht="18" customHeight="1" x14ac:dyDescent="0.25">
      <c r="A97" s="185"/>
      <c r="B97" s="140"/>
      <c r="C97" s="140"/>
      <c r="D97" s="140"/>
      <c r="E97" s="156"/>
      <c r="F97" s="140"/>
      <c r="G97" s="142"/>
      <c r="H97" s="143"/>
      <c r="I97" s="188"/>
      <c r="J97" s="145"/>
      <c r="K97" s="188"/>
      <c r="L97" s="145"/>
      <c r="M97" s="146"/>
      <c r="N97" s="115"/>
      <c r="O97" s="115"/>
      <c r="P97" s="116"/>
      <c r="Q97" s="116"/>
      <c r="R97" s="117"/>
    </row>
    <row r="98" spans="1:18" s="148" customFormat="1" ht="18" customHeight="1" x14ac:dyDescent="0.25">
      <c r="A98" s="185">
        <v>4</v>
      </c>
      <c r="B98" s="140"/>
      <c r="C98" s="140"/>
      <c r="D98" s="140"/>
      <c r="E98" s="156" t="s">
        <v>68</v>
      </c>
      <c r="F98" s="140"/>
      <c r="G98" s="142"/>
      <c r="H98" s="143" t="s">
        <v>443</v>
      </c>
      <c r="I98" s="187" t="s">
        <v>225</v>
      </c>
      <c r="J98" s="145">
        <f>73493*12</f>
        <v>881916</v>
      </c>
      <c r="K98" s="187" t="s">
        <v>225</v>
      </c>
      <c r="L98" s="145">
        <v>899208</v>
      </c>
      <c r="M98" s="146">
        <f>L98-J98</f>
        <v>17292</v>
      </c>
      <c r="N98" s="115">
        <f>L98-J98</f>
        <v>17292</v>
      </c>
      <c r="O98" s="115">
        <f>N98-M98</f>
        <v>0</v>
      </c>
      <c r="P98" s="116">
        <v>62304</v>
      </c>
      <c r="Q98" s="116">
        <f>P98*12</f>
        <v>747648</v>
      </c>
      <c r="R98" s="147">
        <f>Q98-L98</f>
        <v>-151560</v>
      </c>
    </row>
    <row r="99" spans="1:18" s="148" customFormat="1" ht="18" customHeight="1" x14ac:dyDescent="0.25">
      <c r="A99" s="185"/>
      <c r="B99" s="140"/>
      <c r="C99" s="140"/>
      <c r="D99" s="140"/>
      <c r="E99" s="156"/>
      <c r="F99" s="140"/>
      <c r="G99" s="142"/>
      <c r="H99" s="143"/>
      <c r="I99" s="187"/>
      <c r="J99" s="145"/>
      <c r="K99" s="187"/>
      <c r="L99" s="145"/>
      <c r="M99" s="146"/>
      <c r="N99" s="115"/>
      <c r="O99" s="115"/>
      <c r="P99" s="116"/>
      <c r="Q99" s="116"/>
      <c r="R99" s="147"/>
    </row>
    <row r="100" spans="1:18" s="148" customFormat="1" ht="18" customHeight="1" x14ac:dyDescent="0.25">
      <c r="A100" s="185"/>
      <c r="B100" s="140"/>
      <c r="C100" s="140"/>
      <c r="D100" s="140"/>
      <c r="E100" s="156"/>
      <c r="F100" s="140"/>
      <c r="G100" s="142"/>
      <c r="H100" s="143"/>
      <c r="I100" s="187"/>
      <c r="J100" s="155"/>
      <c r="K100" s="187"/>
      <c r="L100" s="155"/>
      <c r="M100" s="146"/>
      <c r="N100" s="115"/>
      <c r="O100" s="115"/>
      <c r="P100" s="116"/>
      <c r="Q100" s="116"/>
      <c r="R100" s="147"/>
    </row>
    <row r="101" spans="1:18" s="148" customFormat="1" ht="18" customHeight="1" x14ac:dyDescent="0.25">
      <c r="A101" s="185"/>
      <c r="B101" s="140"/>
      <c r="C101" s="140"/>
      <c r="D101" s="140"/>
      <c r="E101" s="156"/>
      <c r="F101" s="140"/>
      <c r="G101" s="142"/>
      <c r="H101" s="143"/>
      <c r="I101" s="188"/>
      <c r="J101" s="145"/>
      <c r="K101" s="188"/>
      <c r="L101" s="145"/>
      <c r="M101" s="146"/>
      <c r="N101" s="115"/>
      <c r="O101" s="115"/>
      <c r="P101" s="116"/>
      <c r="Q101" s="116"/>
      <c r="R101" s="117"/>
    </row>
    <row r="102" spans="1:18" s="148" customFormat="1" ht="18" customHeight="1" x14ac:dyDescent="0.25">
      <c r="A102" s="185">
        <v>5</v>
      </c>
      <c r="B102" s="140"/>
      <c r="C102" s="140"/>
      <c r="D102" s="140"/>
      <c r="E102" s="156" t="s">
        <v>68</v>
      </c>
      <c r="F102" s="140"/>
      <c r="G102" s="142"/>
      <c r="H102" s="143" t="s">
        <v>1502</v>
      </c>
      <c r="I102" s="187" t="s">
        <v>69</v>
      </c>
      <c r="J102" s="145">
        <f>72313*12</f>
        <v>867756</v>
      </c>
      <c r="K102" s="187" t="s">
        <v>69</v>
      </c>
      <c r="L102" s="145">
        <v>884772</v>
      </c>
      <c r="M102" s="146">
        <f>L102-J102</f>
        <v>17016</v>
      </c>
      <c r="N102" s="115">
        <f>L102-J102</f>
        <v>17016</v>
      </c>
      <c r="O102" s="115">
        <f>N102-M102</f>
        <v>0</v>
      </c>
      <c r="P102" s="116">
        <v>63237</v>
      </c>
      <c r="Q102" s="116">
        <f>P102*12</f>
        <v>758844</v>
      </c>
      <c r="R102" s="147">
        <f>Q102-L102</f>
        <v>-125928</v>
      </c>
    </row>
    <row r="103" spans="1:18" s="148" customFormat="1" ht="18" customHeight="1" x14ac:dyDescent="0.25">
      <c r="A103" s="185"/>
      <c r="B103" s="140"/>
      <c r="C103" s="140"/>
      <c r="D103" s="140"/>
      <c r="E103" s="156"/>
      <c r="F103" s="140"/>
      <c r="G103" s="142"/>
      <c r="H103" s="143"/>
      <c r="I103" s="187"/>
      <c r="J103" s="145"/>
      <c r="K103" s="187"/>
      <c r="L103" s="145"/>
      <c r="M103" s="146"/>
      <c r="N103" s="115"/>
      <c r="O103" s="115"/>
      <c r="P103" s="116"/>
      <c r="Q103" s="116"/>
      <c r="R103" s="147"/>
    </row>
    <row r="104" spans="1:18" s="148" customFormat="1" ht="18" customHeight="1" x14ac:dyDescent="0.25">
      <c r="A104" s="185"/>
      <c r="B104" s="140"/>
      <c r="C104" s="140"/>
      <c r="D104" s="140"/>
      <c r="E104" s="156"/>
      <c r="F104" s="140"/>
      <c r="G104" s="142"/>
      <c r="H104" s="143"/>
      <c r="I104" s="187"/>
      <c r="J104" s="155"/>
      <c r="K104" s="187"/>
      <c r="L104" s="155"/>
      <c r="M104" s="146"/>
      <c r="N104" s="115"/>
      <c r="O104" s="115"/>
      <c r="P104" s="116"/>
      <c r="Q104" s="116"/>
      <c r="R104" s="147"/>
    </row>
    <row r="105" spans="1:18" s="148" customFormat="1" ht="18" customHeight="1" x14ac:dyDescent="0.25">
      <c r="A105" s="185"/>
      <c r="B105" s="140"/>
      <c r="C105" s="140"/>
      <c r="D105" s="140"/>
      <c r="E105" s="156"/>
      <c r="F105" s="140"/>
      <c r="G105" s="142"/>
      <c r="H105" s="143"/>
      <c r="I105" s="188"/>
      <c r="J105" s="145"/>
      <c r="K105" s="188"/>
      <c r="L105" s="145"/>
      <c r="M105" s="146"/>
      <c r="N105" s="115"/>
      <c r="O105" s="115"/>
      <c r="P105" s="116"/>
      <c r="Q105" s="116"/>
      <c r="R105" s="117"/>
    </row>
    <row r="106" spans="1:18" s="148" customFormat="1" ht="18" customHeight="1" x14ac:dyDescent="0.25">
      <c r="A106" s="185">
        <v>6</v>
      </c>
      <c r="B106" s="140"/>
      <c r="C106" s="140"/>
      <c r="D106" s="140"/>
      <c r="E106" s="156" t="s">
        <v>68</v>
      </c>
      <c r="F106" s="140"/>
      <c r="G106" s="142"/>
      <c r="H106" s="143" t="s">
        <v>26</v>
      </c>
      <c r="I106" s="187" t="s">
        <v>69</v>
      </c>
      <c r="J106" s="145">
        <f>72313*12</f>
        <v>867756</v>
      </c>
      <c r="K106" s="187" t="s">
        <v>69</v>
      </c>
      <c r="L106" s="145">
        <v>884772</v>
      </c>
      <c r="M106" s="146">
        <f>L106-J106</f>
        <v>17016</v>
      </c>
      <c r="N106" s="115">
        <f>L106-J106</f>
        <v>17016</v>
      </c>
      <c r="O106" s="115">
        <f>N106-M106</f>
        <v>0</v>
      </c>
      <c r="P106" s="116">
        <v>63237</v>
      </c>
      <c r="Q106" s="116">
        <f>P106*12</f>
        <v>758844</v>
      </c>
      <c r="R106" s="147">
        <f>Q106-L106</f>
        <v>-125928</v>
      </c>
    </row>
    <row r="107" spans="1:18" s="148" customFormat="1" ht="18" customHeight="1" x14ac:dyDescent="0.25">
      <c r="A107" s="185"/>
      <c r="B107" s="140"/>
      <c r="C107" s="140"/>
      <c r="D107" s="140"/>
      <c r="E107" s="156"/>
      <c r="F107" s="140"/>
      <c r="G107" s="142"/>
      <c r="H107" s="143"/>
      <c r="I107" s="187"/>
      <c r="J107" s="145"/>
      <c r="K107" s="187"/>
      <c r="L107" s="145"/>
      <c r="M107" s="146"/>
      <c r="N107" s="115"/>
      <c r="O107" s="115"/>
      <c r="P107" s="116"/>
      <c r="Q107" s="116"/>
      <c r="R107" s="147"/>
    </row>
    <row r="108" spans="1:18" s="148" customFormat="1" ht="18" customHeight="1" x14ac:dyDescent="0.25">
      <c r="A108" s="185"/>
      <c r="B108" s="140"/>
      <c r="C108" s="140"/>
      <c r="D108" s="140"/>
      <c r="E108" s="156"/>
      <c r="F108" s="140"/>
      <c r="G108" s="142"/>
      <c r="H108" s="143"/>
      <c r="I108" s="187"/>
      <c r="J108" s="155"/>
      <c r="K108" s="187"/>
      <c r="L108" s="155"/>
      <c r="M108" s="146"/>
      <c r="N108" s="115"/>
      <c r="O108" s="115"/>
      <c r="P108" s="116"/>
      <c r="Q108" s="116"/>
      <c r="R108" s="147"/>
    </row>
    <row r="109" spans="1:18" s="148" customFormat="1" ht="18" customHeight="1" x14ac:dyDescent="0.25">
      <c r="A109" s="185"/>
      <c r="B109" s="140"/>
      <c r="C109" s="140"/>
      <c r="D109" s="140"/>
      <c r="E109" s="156"/>
      <c r="F109" s="140"/>
      <c r="G109" s="142"/>
      <c r="H109" s="143"/>
      <c r="I109" s="188"/>
      <c r="J109" s="145"/>
      <c r="K109" s="188"/>
      <c r="L109" s="145"/>
      <c r="M109" s="146"/>
      <c r="N109" s="115"/>
      <c r="O109" s="115"/>
      <c r="P109" s="116"/>
      <c r="Q109" s="116"/>
      <c r="R109" s="117"/>
    </row>
    <row r="110" spans="1:18" s="148" customFormat="1" ht="18" customHeight="1" x14ac:dyDescent="0.25">
      <c r="A110" s="185">
        <v>7</v>
      </c>
      <c r="B110" s="140"/>
      <c r="C110" s="140"/>
      <c r="D110" s="140"/>
      <c r="E110" s="156" t="s">
        <v>68</v>
      </c>
      <c r="F110" s="140"/>
      <c r="G110" s="142"/>
      <c r="H110" s="143" t="s">
        <v>389</v>
      </c>
      <c r="I110" s="187" t="s">
        <v>254</v>
      </c>
      <c r="J110" s="145">
        <f>74693*12</f>
        <v>896316</v>
      </c>
      <c r="K110" s="187" t="s">
        <v>254</v>
      </c>
      <c r="L110" s="145">
        <v>913884</v>
      </c>
      <c r="M110" s="146">
        <f>L110-J110</f>
        <v>17568</v>
      </c>
      <c r="N110" s="115">
        <f>L110-J110</f>
        <v>17568</v>
      </c>
      <c r="O110" s="115">
        <f>N110-M110</f>
        <v>0</v>
      </c>
      <c r="P110" s="116">
        <v>64185</v>
      </c>
      <c r="Q110" s="116">
        <f>P110*12</f>
        <v>770220</v>
      </c>
      <c r="R110" s="147">
        <f>Q110-L110</f>
        <v>-143664</v>
      </c>
    </row>
    <row r="111" spans="1:18" s="148" customFormat="1" ht="18" customHeight="1" x14ac:dyDescent="0.25">
      <c r="A111" s="185"/>
      <c r="B111" s="140"/>
      <c r="C111" s="140"/>
      <c r="D111" s="140"/>
      <c r="E111" s="156"/>
      <c r="F111" s="140"/>
      <c r="G111" s="142"/>
      <c r="H111" s="143"/>
      <c r="I111" s="187"/>
      <c r="J111" s="145"/>
      <c r="K111" s="187"/>
      <c r="L111" s="145"/>
      <c r="M111" s="146"/>
      <c r="N111" s="115"/>
      <c r="O111" s="115"/>
      <c r="P111" s="116"/>
      <c r="Q111" s="116"/>
      <c r="R111" s="147"/>
    </row>
    <row r="112" spans="1:18" s="148" customFormat="1" ht="18" customHeight="1" x14ac:dyDescent="0.25">
      <c r="A112" s="185"/>
      <c r="B112" s="140"/>
      <c r="C112" s="140"/>
      <c r="D112" s="140"/>
      <c r="E112" s="156"/>
      <c r="F112" s="140"/>
      <c r="G112" s="142"/>
      <c r="H112" s="143"/>
      <c r="I112" s="188"/>
      <c r="J112" s="145"/>
      <c r="K112" s="188"/>
      <c r="L112" s="145"/>
      <c r="M112" s="146"/>
      <c r="N112" s="115"/>
      <c r="O112" s="115"/>
      <c r="P112" s="116"/>
      <c r="Q112" s="116"/>
      <c r="R112" s="117"/>
    </row>
    <row r="113" spans="1:18" s="148" customFormat="1" ht="18" customHeight="1" x14ac:dyDescent="0.25">
      <c r="A113" s="185">
        <v>8</v>
      </c>
      <c r="B113" s="140"/>
      <c r="C113" s="140"/>
      <c r="D113" s="140"/>
      <c r="E113" s="156" t="s">
        <v>68</v>
      </c>
      <c r="F113" s="140"/>
      <c r="G113" s="142"/>
      <c r="H113" s="143" t="s">
        <v>445</v>
      </c>
      <c r="I113" s="187" t="s">
        <v>225</v>
      </c>
      <c r="J113" s="145">
        <f>73493*12</f>
        <v>881916</v>
      </c>
      <c r="K113" s="187" t="s">
        <v>225</v>
      </c>
      <c r="L113" s="145">
        <v>899208</v>
      </c>
      <c r="M113" s="146">
        <f>L113-J113</f>
        <v>17292</v>
      </c>
      <c r="N113" s="115">
        <f>L113-J113</f>
        <v>17292</v>
      </c>
      <c r="O113" s="115">
        <f>N113-M113</f>
        <v>0</v>
      </c>
      <c r="P113" s="116">
        <v>62304</v>
      </c>
      <c r="Q113" s="116">
        <f>P113*12</f>
        <v>747648</v>
      </c>
      <c r="R113" s="147">
        <f>Q113-L113</f>
        <v>-151560</v>
      </c>
    </row>
    <row r="114" spans="1:18" s="148" customFormat="1" ht="18" customHeight="1" x14ac:dyDescent="0.25">
      <c r="A114" s="185"/>
      <c r="B114" s="140"/>
      <c r="C114" s="140"/>
      <c r="D114" s="140"/>
      <c r="E114" s="156"/>
      <c r="F114" s="140"/>
      <c r="G114" s="142"/>
      <c r="H114" s="143"/>
      <c r="I114" s="187"/>
      <c r="J114" s="145"/>
      <c r="K114" s="187"/>
      <c r="L114" s="145"/>
      <c r="M114" s="146"/>
      <c r="N114" s="115"/>
      <c r="O114" s="115"/>
      <c r="P114" s="116"/>
      <c r="Q114" s="116"/>
      <c r="R114" s="147"/>
    </row>
    <row r="115" spans="1:18" s="148" customFormat="1" ht="18" customHeight="1" x14ac:dyDescent="0.25">
      <c r="A115" s="185"/>
      <c r="B115" s="140"/>
      <c r="C115" s="140"/>
      <c r="D115" s="140"/>
      <c r="E115" s="156"/>
      <c r="F115" s="140"/>
      <c r="G115" s="142"/>
      <c r="H115" s="143"/>
      <c r="I115" s="187"/>
      <c r="J115" s="155"/>
      <c r="K115" s="187"/>
      <c r="L115" s="155"/>
      <c r="M115" s="146"/>
      <c r="N115" s="115"/>
      <c r="O115" s="115"/>
      <c r="P115" s="116"/>
      <c r="Q115" s="116"/>
      <c r="R115" s="147"/>
    </row>
    <row r="116" spans="1:18" s="148" customFormat="1" ht="18" customHeight="1" x14ac:dyDescent="0.25">
      <c r="A116" s="185"/>
      <c r="B116" s="140"/>
      <c r="C116" s="140"/>
      <c r="D116" s="140"/>
      <c r="E116" s="156"/>
      <c r="F116" s="140"/>
      <c r="G116" s="142"/>
      <c r="H116" s="143"/>
      <c r="I116" s="188"/>
      <c r="J116" s="145"/>
      <c r="K116" s="188"/>
      <c r="L116" s="145"/>
      <c r="M116" s="146"/>
      <c r="N116" s="115"/>
      <c r="O116" s="115"/>
      <c r="P116" s="116"/>
      <c r="Q116" s="116"/>
      <c r="R116" s="117"/>
    </row>
    <row r="117" spans="1:18" s="148" customFormat="1" ht="18" customHeight="1" x14ac:dyDescent="0.25">
      <c r="A117" s="185">
        <v>9</v>
      </c>
      <c r="B117" s="140"/>
      <c r="C117" s="140"/>
      <c r="D117" s="140"/>
      <c r="E117" s="156" t="s">
        <v>68</v>
      </c>
      <c r="F117" s="140"/>
      <c r="G117" s="142"/>
      <c r="H117" s="143" t="s">
        <v>1487</v>
      </c>
      <c r="I117" s="187" t="s">
        <v>69</v>
      </c>
      <c r="J117" s="145">
        <f>72313*12</f>
        <v>867756</v>
      </c>
      <c r="K117" s="187" t="s">
        <v>69</v>
      </c>
      <c r="L117" s="145">
        <v>884772</v>
      </c>
      <c r="M117" s="146">
        <f>L117-J117</f>
        <v>17016</v>
      </c>
      <c r="N117" s="115">
        <f>L117-J117</f>
        <v>17016</v>
      </c>
      <c r="O117" s="115">
        <f>N117-M117</f>
        <v>0</v>
      </c>
      <c r="P117" s="116">
        <v>63237</v>
      </c>
      <c r="Q117" s="116">
        <f>P117*12</f>
        <v>758844</v>
      </c>
      <c r="R117" s="147">
        <f>Q117-L117</f>
        <v>-125928</v>
      </c>
    </row>
    <row r="118" spans="1:18" s="148" customFormat="1" ht="18" customHeight="1" x14ac:dyDescent="0.25">
      <c r="A118" s="185"/>
      <c r="B118" s="140"/>
      <c r="C118" s="140"/>
      <c r="D118" s="140"/>
      <c r="E118" s="156"/>
      <c r="F118" s="140"/>
      <c r="G118" s="142"/>
      <c r="H118" s="143"/>
      <c r="I118" s="187"/>
      <c r="J118" s="145"/>
      <c r="K118" s="187"/>
      <c r="L118" s="145"/>
      <c r="M118" s="146"/>
      <c r="N118" s="115"/>
      <c r="O118" s="115"/>
      <c r="P118" s="116"/>
      <c r="Q118" s="116"/>
      <c r="R118" s="147"/>
    </row>
    <row r="119" spans="1:18" s="148" customFormat="1" ht="18" customHeight="1" x14ac:dyDescent="0.25">
      <c r="A119" s="185"/>
      <c r="B119" s="140"/>
      <c r="C119" s="140"/>
      <c r="D119" s="140"/>
      <c r="E119" s="156"/>
      <c r="F119" s="140"/>
      <c r="G119" s="142"/>
      <c r="H119" s="143"/>
      <c r="I119" s="187"/>
      <c r="J119" s="155"/>
      <c r="K119" s="187"/>
      <c r="L119" s="155"/>
      <c r="M119" s="146"/>
      <c r="N119" s="115"/>
      <c r="O119" s="115"/>
      <c r="P119" s="116"/>
      <c r="Q119" s="116"/>
      <c r="R119" s="147"/>
    </row>
    <row r="120" spans="1:18" s="148" customFormat="1" ht="18" customHeight="1" x14ac:dyDescent="0.25">
      <c r="A120" s="185"/>
      <c r="B120" s="140"/>
      <c r="C120" s="140"/>
      <c r="D120" s="140"/>
      <c r="E120" s="156"/>
      <c r="F120" s="140"/>
      <c r="G120" s="142"/>
      <c r="H120" s="143"/>
      <c r="I120" s="188"/>
      <c r="J120" s="145"/>
      <c r="K120" s="188"/>
      <c r="L120" s="145"/>
      <c r="M120" s="146"/>
      <c r="N120" s="115"/>
      <c r="O120" s="115"/>
      <c r="P120" s="116"/>
      <c r="Q120" s="116"/>
      <c r="R120" s="117"/>
    </row>
    <row r="121" spans="1:18" s="148" customFormat="1" ht="18" customHeight="1" x14ac:dyDescent="0.25">
      <c r="A121" s="185">
        <v>10</v>
      </c>
      <c r="B121" s="140"/>
      <c r="C121" s="140"/>
      <c r="D121" s="140"/>
      <c r="E121" s="156" t="s">
        <v>70</v>
      </c>
      <c r="F121" s="140"/>
      <c r="G121" s="142"/>
      <c r="H121" s="143" t="s">
        <v>1018</v>
      </c>
      <c r="I121" s="187" t="s">
        <v>69</v>
      </c>
      <c r="J121" s="145">
        <f>72313*12</f>
        <v>867756</v>
      </c>
      <c r="K121" s="187" t="s">
        <v>69</v>
      </c>
      <c r="L121" s="145">
        <v>884772</v>
      </c>
      <c r="M121" s="146">
        <f>L121-J121</f>
        <v>17016</v>
      </c>
      <c r="N121" s="115">
        <f>L121-J121</f>
        <v>17016</v>
      </c>
      <c r="O121" s="115">
        <f>N121-M121</f>
        <v>0</v>
      </c>
      <c r="P121" s="116">
        <v>62304</v>
      </c>
      <c r="Q121" s="116">
        <f>P121*12</f>
        <v>747648</v>
      </c>
      <c r="R121" s="147">
        <f>Q121-L121</f>
        <v>-137124</v>
      </c>
    </row>
    <row r="122" spans="1:18" s="148" customFormat="1" ht="18" customHeight="1" x14ac:dyDescent="0.25">
      <c r="A122" s="185"/>
      <c r="B122" s="140"/>
      <c r="C122" s="140"/>
      <c r="D122" s="140"/>
      <c r="E122" s="156" t="s">
        <v>71</v>
      </c>
      <c r="F122" s="140"/>
      <c r="G122" s="142"/>
      <c r="H122" s="143"/>
      <c r="I122" s="188"/>
      <c r="J122" s="145"/>
      <c r="K122" s="188"/>
      <c r="L122" s="145"/>
      <c r="M122" s="146"/>
      <c r="N122" s="115"/>
      <c r="O122" s="115"/>
      <c r="P122" s="116"/>
      <c r="Q122" s="116"/>
      <c r="R122" s="117"/>
    </row>
    <row r="123" spans="1:18" s="148" customFormat="1" ht="18" customHeight="1" x14ac:dyDescent="0.25">
      <c r="A123" s="185"/>
      <c r="B123" s="140"/>
      <c r="C123" s="140"/>
      <c r="D123" s="140"/>
      <c r="E123" s="156"/>
      <c r="F123" s="140"/>
      <c r="G123" s="142"/>
      <c r="H123" s="143"/>
      <c r="I123" s="188"/>
      <c r="J123" s="145"/>
      <c r="K123" s="188"/>
      <c r="L123" s="145"/>
      <c r="M123" s="146"/>
      <c r="N123" s="115"/>
      <c r="O123" s="115"/>
      <c r="P123" s="116"/>
      <c r="Q123" s="116"/>
      <c r="R123" s="117"/>
    </row>
    <row r="124" spans="1:18" s="148" customFormat="1" ht="18" customHeight="1" x14ac:dyDescent="0.25">
      <c r="A124" s="185"/>
      <c r="B124" s="140"/>
      <c r="C124" s="140"/>
      <c r="D124" s="140"/>
      <c r="E124" s="156"/>
      <c r="F124" s="140"/>
      <c r="G124" s="142"/>
      <c r="H124" s="143"/>
      <c r="I124" s="188"/>
      <c r="J124" s="145"/>
      <c r="K124" s="188"/>
      <c r="L124" s="145"/>
      <c r="M124" s="146"/>
      <c r="N124" s="115"/>
      <c r="O124" s="115"/>
      <c r="P124" s="116"/>
      <c r="Q124" s="116"/>
      <c r="R124" s="117"/>
    </row>
    <row r="125" spans="1:18" s="148" customFormat="1" ht="18" customHeight="1" x14ac:dyDescent="0.25">
      <c r="A125" s="185">
        <v>11</v>
      </c>
      <c r="B125" s="140"/>
      <c r="C125" s="140"/>
      <c r="D125" s="140"/>
      <c r="E125" s="156" t="s">
        <v>70</v>
      </c>
      <c r="F125" s="140"/>
      <c r="G125" s="142"/>
      <c r="H125" s="143" t="s">
        <v>983</v>
      </c>
      <c r="I125" s="187" t="s">
        <v>69</v>
      </c>
      <c r="J125" s="145">
        <f>72313*12</f>
        <v>867756</v>
      </c>
      <c r="K125" s="187" t="s">
        <v>69</v>
      </c>
      <c r="L125" s="145">
        <v>884772</v>
      </c>
      <c r="M125" s="146">
        <f>L125-J125</f>
        <v>17016</v>
      </c>
      <c r="N125" s="115">
        <f>L125-J125</f>
        <v>17016</v>
      </c>
      <c r="O125" s="115">
        <f>N125-M125</f>
        <v>0</v>
      </c>
      <c r="P125" s="116">
        <v>62304</v>
      </c>
      <c r="Q125" s="116">
        <f>P125*12</f>
        <v>747648</v>
      </c>
      <c r="R125" s="147">
        <f>Q125-L125</f>
        <v>-137124</v>
      </c>
    </row>
    <row r="126" spans="1:18" s="148" customFormat="1" ht="18" customHeight="1" x14ac:dyDescent="0.25">
      <c r="A126" s="185"/>
      <c r="B126" s="140"/>
      <c r="C126" s="140"/>
      <c r="D126" s="140"/>
      <c r="E126" s="156" t="s">
        <v>72</v>
      </c>
      <c r="F126" s="140"/>
      <c r="G126" s="142"/>
      <c r="H126" s="143"/>
      <c r="I126" s="188"/>
      <c r="J126" s="145"/>
      <c r="K126" s="188"/>
      <c r="L126" s="145"/>
      <c r="M126" s="146"/>
      <c r="N126" s="115"/>
      <c r="O126" s="115"/>
      <c r="P126" s="116"/>
      <c r="Q126" s="116"/>
      <c r="R126" s="117"/>
    </row>
    <row r="127" spans="1:18" s="148" customFormat="1" ht="18" customHeight="1" thickBot="1" x14ac:dyDescent="0.3">
      <c r="A127" s="163"/>
      <c r="B127" s="160"/>
      <c r="C127" s="160"/>
      <c r="D127" s="160"/>
      <c r="E127" s="189"/>
      <c r="F127" s="160"/>
      <c r="G127" s="162"/>
      <c r="H127" s="163" t="s">
        <v>963</v>
      </c>
      <c r="I127" s="190"/>
      <c r="J127" s="165">
        <f>SUM(J85:J126)</f>
        <v>9737844</v>
      </c>
      <c r="K127" s="190"/>
      <c r="L127" s="165"/>
      <c r="M127" s="166">
        <f>SUM(M86:M126)</f>
        <v>190932</v>
      </c>
      <c r="N127" s="115"/>
      <c r="O127" s="115"/>
      <c r="P127" s="116"/>
      <c r="Q127" s="116"/>
      <c r="R127" s="117"/>
    </row>
    <row r="128" spans="1:18" s="196" customFormat="1" ht="18" customHeight="1" thickTop="1" x14ac:dyDescent="0.25">
      <c r="A128" s="191"/>
      <c r="B128" s="191"/>
      <c r="C128" s="191"/>
      <c r="D128" s="191"/>
      <c r="E128" s="191"/>
      <c r="F128" s="191"/>
      <c r="G128" s="192"/>
      <c r="H128" s="191"/>
      <c r="I128" s="191"/>
      <c r="J128" s="171"/>
      <c r="K128" s="193"/>
      <c r="L128" s="171"/>
      <c r="M128" s="173"/>
      <c r="N128" s="194"/>
      <c r="O128" s="194"/>
      <c r="P128" s="109"/>
      <c r="Q128" s="109"/>
      <c r="R128" s="195"/>
    </row>
    <row r="129" spans="1:18" s="196" customFormat="1" ht="18" customHeight="1" x14ac:dyDescent="0.25">
      <c r="A129" s="191"/>
      <c r="B129" s="191"/>
      <c r="C129" s="191"/>
      <c r="D129" s="191"/>
      <c r="E129" s="191"/>
      <c r="F129" s="191"/>
      <c r="G129" s="192"/>
      <c r="H129" s="191"/>
      <c r="I129" s="191"/>
      <c r="J129" s="171"/>
      <c r="K129" s="193"/>
      <c r="L129" s="171"/>
      <c r="M129" s="173"/>
      <c r="N129" s="194"/>
      <c r="O129" s="194"/>
      <c r="P129" s="109"/>
      <c r="Q129" s="109"/>
      <c r="R129" s="195"/>
    </row>
    <row r="130" spans="1:18" s="196" customFormat="1" ht="18" customHeight="1" x14ac:dyDescent="0.25">
      <c r="A130" s="191"/>
      <c r="B130" s="191"/>
      <c r="C130" s="191"/>
      <c r="D130" s="191"/>
      <c r="E130" s="191"/>
      <c r="F130" s="191"/>
      <c r="G130" s="192"/>
      <c r="H130" s="191"/>
      <c r="I130" s="191"/>
      <c r="J130" s="171"/>
      <c r="K130" s="193"/>
      <c r="L130" s="171"/>
      <c r="M130" s="173"/>
      <c r="N130" s="194"/>
      <c r="O130" s="194"/>
      <c r="P130" s="109"/>
      <c r="Q130" s="109"/>
      <c r="R130" s="195"/>
    </row>
    <row r="131" spans="1:18" s="196" customFormat="1" ht="18" customHeight="1" x14ac:dyDescent="0.25">
      <c r="A131" s="191"/>
      <c r="B131" s="191"/>
      <c r="C131" s="191"/>
      <c r="D131" s="191"/>
      <c r="E131" s="191"/>
      <c r="F131" s="191"/>
      <c r="G131" s="192"/>
      <c r="H131" s="191"/>
      <c r="I131" s="191"/>
      <c r="J131" s="171"/>
      <c r="K131" s="193"/>
      <c r="L131" s="171"/>
      <c r="M131" s="173"/>
      <c r="N131" s="194"/>
      <c r="O131" s="194"/>
      <c r="P131" s="109"/>
      <c r="Q131" s="109"/>
      <c r="R131" s="195"/>
    </row>
    <row r="132" spans="1:18" s="196" customFormat="1" ht="18" customHeight="1" x14ac:dyDescent="0.25">
      <c r="A132" s="191"/>
      <c r="B132" s="191"/>
      <c r="C132" s="191"/>
      <c r="D132" s="191"/>
      <c r="E132" s="191"/>
      <c r="F132" s="191"/>
      <c r="G132" s="192"/>
      <c r="H132" s="191"/>
      <c r="I132" s="191"/>
      <c r="J132" s="171"/>
      <c r="K132" s="193"/>
      <c r="L132" s="171"/>
      <c r="M132" s="173"/>
      <c r="N132" s="194"/>
      <c r="O132" s="194"/>
      <c r="P132" s="109"/>
      <c r="Q132" s="109"/>
      <c r="R132" s="195"/>
    </row>
    <row r="133" spans="1:18" s="196" customFormat="1" ht="18" customHeight="1" x14ac:dyDescent="0.25">
      <c r="A133" s="191"/>
      <c r="B133" s="191"/>
      <c r="C133" s="191"/>
      <c r="D133" s="191"/>
      <c r="E133" s="191"/>
      <c r="F133" s="191"/>
      <c r="G133" s="192"/>
      <c r="H133" s="191"/>
      <c r="I133" s="191"/>
      <c r="J133" s="171"/>
      <c r="K133" s="193"/>
      <c r="L133" s="171"/>
      <c r="M133" s="173"/>
      <c r="N133" s="194"/>
      <c r="O133" s="194"/>
      <c r="P133" s="109"/>
      <c r="Q133" s="109"/>
      <c r="R133" s="195"/>
    </row>
    <row r="134" spans="1:18" s="196" customFormat="1" ht="18" customHeight="1" x14ac:dyDescent="0.25">
      <c r="A134" s="191"/>
      <c r="B134" s="191"/>
      <c r="C134" s="191"/>
      <c r="D134" s="191"/>
      <c r="E134" s="191"/>
      <c r="F134" s="191"/>
      <c r="G134" s="192"/>
      <c r="H134" s="191"/>
      <c r="I134" s="191"/>
      <c r="J134" s="171"/>
      <c r="K134" s="193"/>
      <c r="L134" s="171"/>
      <c r="M134" s="173"/>
      <c r="N134" s="194"/>
      <c r="O134" s="194"/>
      <c r="P134" s="109"/>
      <c r="Q134" s="109"/>
      <c r="R134" s="195"/>
    </row>
    <row r="135" spans="1:18" s="196" customFormat="1" ht="18" customHeight="1" x14ac:dyDescent="0.25">
      <c r="A135" s="191"/>
      <c r="B135" s="191"/>
      <c r="C135" s="191"/>
      <c r="D135" s="191"/>
      <c r="E135" s="191"/>
      <c r="F135" s="191"/>
      <c r="G135" s="192"/>
      <c r="H135" s="191"/>
      <c r="I135" s="191"/>
      <c r="J135" s="171"/>
      <c r="K135" s="193"/>
      <c r="L135" s="171"/>
      <c r="M135" s="173"/>
      <c r="N135" s="194"/>
      <c r="O135" s="194"/>
      <c r="P135" s="109"/>
      <c r="Q135" s="109"/>
      <c r="R135" s="195"/>
    </row>
    <row r="136" spans="1:18" s="196" customFormat="1" ht="18" customHeight="1" x14ac:dyDescent="0.25">
      <c r="A136" s="191"/>
      <c r="B136" s="191"/>
      <c r="C136" s="191"/>
      <c r="D136" s="191"/>
      <c r="E136" s="191"/>
      <c r="F136" s="191"/>
      <c r="G136" s="192"/>
      <c r="H136" s="191"/>
      <c r="I136" s="191"/>
      <c r="J136" s="171"/>
      <c r="K136" s="193"/>
      <c r="L136" s="171"/>
      <c r="M136" s="173"/>
      <c r="N136" s="194"/>
      <c r="O136" s="194"/>
      <c r="P136" s="109"/>
      <c r="Q136" s="109"/>
      <c r="R136" s="195"/>
    </row>
    <row r="137" spans="1:18" s="196" customFormat="1" ht="18" customHeight="1" x14ac:dyDescent="0.25">
      <c r="A137" s="191"/>
      <c r="B137" s="191"/>
      <c r="C137" s="191"/>
      <c r="D137" s="191"/>
      <c r="E137" s="191"/>
      <c r="F137" s="191"/>
      <c r="G137" s="192"/>
      <c r="H137" s="191"/>
      <c r="I137" s="191"/>
      <c r="J137" s="171"/>
      <c r="K137" s="193"/>
      <c r="L137" s="171"/>
      <c r="M137" s="173"/>
      <c r="N137" s="194"/>
      <c r="O137" s="194"/>
      <c r="P137" s="109"/>
      <c r="Q137" s="109"/>
      <c r="R137" s="195"/>
    </row>
    <row r="138" spans="1:18" s="196" customFormat="1" ht="18" customHeight="1" x14ac:dyDescent="0.25">
      <c r="A138" s="191"/>
      <c r="B138" s="191"/>
      <c r="C138" s="191"/>
      <c r="D138" s="191"/>
      <c r="E138" s="191"/>
      <c r="F138" s="191"/>
      <c r="G138" s="192"/>
      <c r="H138" s="191"/>
      <c r="I138" s="191"/>
      <c r="J138" s="171"/>
      <c r="K138" s="193"/>
      <c r="L138" s="171"/>
      <c r="M138" s="173"/>
      <c r="N138" s="194"/>
      <c r="O138" s="194"/>
      <c r="P138" s="109"/>
      <c r="Q138" s="109"/>
      <c r="R138" s="195"/>
    </row>
    <row r="139" spans="1:18" s="196" customFormat="1" ht="18" customHeight="1" x14ac:dyDescent="0.25">
      <c r="A139" s="191"/>
      <c r="B139" s="191"/>
      <c r="C139" s="191"/>
      <c r="D139" s="191"/>
      <c r="E139" s="191"/>
      <c r="F139" s="191"/>
      <c r="G139" s="192"/>
      <c r="H139" s="191"/>
      <c r="I139" s="191"/>
      <c r="J139" s="171"/>
      <c r="K139" s="193"/>
      <c r="L139" s="171"/>
      <c r="M139" s="173"/>
      <c r="N139" s="194"/>
      <c r="O139" s="194"/>
      <c r="P139" s="109"/>
      <c r="Q139" s="109"/>
      <c r="R139" s="195"/>
    </row>
    <row r="140" spans="1:18" s="196" customFormat="1" ht="18" customHeight="1" x14ac:dyDescent="0.25">
      <c r="A140" s="191"/>
      <c r="B140" s="191"/>
      <c r="C140" s="191"/>
      <c r="D140" s="191"/>
      <c r="E140" s="191"/>
      <c r="F140" s="191"/>
      <c r="G140" s="192"/>
      <c r="H140" s="191"/>
      <c r="I140" s="191"/>
      <c r="J140" s="171"/>
      <c r="K140" s="193"/>
      <c r="L140" s="171"/>
      <c r="M140" s="173"/>
      <c r="N140" s="194"/>
      <c r="O140" s="194"/>
      <c r="P140" s="109"/>
      <c r="Q140" s="109"/>
      <c r="R140" s="195"/>
    </row>
    <row r="141" spans="1:18" s="196" customFormat="1" ht="18" customHeight="1" x14ac:dyDescent="0.25">
      <c r="A141" s="191"/>
      <c r="B141" s="191"/>
      <c r="C141" s="191"/>
      <c r="D141" s="191"/>
      <c r="E141" s="191"/>
      <c r="F141" s="191"/>
      <c r="G141" s="192"/>
      <c r="H141" s="191"/>
      <c r="I141" s="191"/>
      <c r="J141" s="171"/>
      <c r="K141" s="193"/>
      <c r="L141" s="171"/>
      <c r="M141" s="173"/>
      <c r="N141" s="194"/>
      <c r="O141" s="194"/>
      <c r="P141" s="109"/>
      <c r="Q141" s="109"/>
      <c r="R141" s="195"/>
    </row>
    <row r="142" spans="1:18" s="196" customFormat="1" ht="18" customHeight="1" x14ac:dyDescent="0.25">
      <c r="A142" s="191"/>
      <c r="B142" s="191"/>
      <c r="C142" s="191"/>
      <c r="D142" s="191"/>
      <c r="E142" s="191"/>
      <c r="F142" s="191"/>
      <c r="G142" s="192"/>
      <c r="H142" s="191"/>
      <c r="I142" s="191"/>
      <c r="J142" s="171"/>
      <c r="K142" s="193"/>
      <c r="L142" s="171"/>
      <c r="M142" s="173"/>
      <c r="N142" s="194"/>
      <c r="O142" s="194"/>
      <c r="P142" s="109"/>
      <c r="Q142" s="109"/>
      <c r="R142" s="195"/>
    </row>
    <row r="143" spans="1:18" s="196" customFormat="1" ht="18" customHeight="1" x14ac:dyDescent="0.25">
      <c r="A143" s="191"/>
      <c r="B143" s="191"/>
      <c r="C143" s="191"/>
      <c r="D143" s="191"/>
      <c r="E143" s="191"/>
      <c r="F143" s="191"/>
      <c r="G143" s="192"/>
      <c r="H143" s="191"/>
      <c r="I143" s="191"/>
      <c r="J143" s="171"/>
      <c r="K143" s="193"/>
      <c r="L143" s="171"/>
      <c r="M143" s="173"/>
      <c r="N143" s="194"/>
      <c r="O143" s="194"/>
      <c r="P143" s="109"/>
      <c r="Q143" s="109"/>
      <c r="R143" s="195"/>
    </row>
    <row r="144" spans="1:18" s="196" customFormat="1" ht="20.100000000000001" customHeight="1" x14ac:dyDescent="0.35">
      <c r="A144" s="1142" t="s">
        <v>1001</v>
      </c>
      <c r="B144" s="1142"/>
      <c r="C144" s="1142"/>
      <c r="D144" s="1142"/>
      <c r="E144" s="1142"/>
      <c r="F144" s="1142"/>
      <c r="G144" s="1142"/>
      <c r="H144" s="1142"/>
      <c r="I144" s="1142"/>
      <c r="J144" s="1142"/>
      <c r="K144" s="1142"/>
      <c r="L144" s="1142"/>
      <c r="M144" s="1142"/>
      <c r="N144" s="194"/>
      <c r="O144" s="194"/>
      <c r="P144" s="109"/>
      <c r="Q144" s="109"/>
      <c r="R144" s="195"/>
    </row>
    <row r="145" spans="1:18" s="196" customFormat="1" ht="18" customHeight="1" x14ac:dyDescent="0.3">
      <c r="A145" s="1119" t="s">
        <v>1549</v>
      </c>
      <c r="B145" s="1119"/>
      <c r="C145" s="1119"/>
      <c r="D145" s="1119"/>
      <c r="E145" s="1119"/>
      <c r="F145" s="1119"/>
      <c r="G145" s="1119"/>
      <c r="H145" s="1119"/>
      <c r="I145" s="1119"/>
      <c r="J145" s="1119"/>
      <c r="K145" s="1119"/>
      <c r="L145" s="1119"/>
      <c r="M145" s="1119"/>
      <c r="N145" s="194"/>
      <c r="O145" s="194"/>
      <c r="P145" s="109"/>
      <c r="Q145" s="109"/>
      <c r="R145" s="195"/>
    </row>
    <row r="146" spans="1:18" s="196" customFormat="1" ht="18" customHeight="1" x14ac:dyDescent="0.3">
      <c r="A146" s="1120" t="s">
        <v>364</v>
      </c>
      <c r="B146" s="1120"/>
      <c r="C146" s="1120"/>
      <c r="D146" s="1120"/>
      <c r="E146" s="1120"/>
      <c r="F146" s="1120"/>
      <c r="G146" s="1120"/>
      <c r="H146" s="1120"/>
      <c r="I146" s="1120"/>
      <c r="J146" s="1120"/>
      <c r="K146" s="1120"/>
      <c r="L146" s="1120"/>
      <c r="M146" s="1120"/>
      <c r="N146" s="194"/>
      <c r="O146" s="194"/>
      <c r="P146" s="109"/>
      <c r="Q146" s="109"/>
      <c r="R146" s="195"/>
    </row>
    <row r="147" spans="1:18" s="196" customFormat="1" ht="18" customHeight="1" x14ac:dyDescent="0.2">
      <c r="A147" s="1121"/>
      <c r="B147" s="1121"/>
      <c r="C147" s="1121"/>
      <c r="D147" s="1121"/>
      <c r="E147" s="1121"/>
      <c r="F147" s="1121"/>
      <c r="G147" s="1121"/>
      <c r="H147" s="1121"/>
      <c r="I147" s="1121"/>
      <c r="J147" s="1121"/>
      <c r="K147" s="1121"/>
      <c r="L147" s="1121"/>
      <c r="M147" s="1121"/>
      <c r="N147" s="194"/>
      <c r="O147" s="194"/>
      <c r="P147" s="109"/>
      <c r="Q147" s="109"/>
      <c r="R147" s="195"/>
    </row>
    <row r="148" spans="1:18" s="196" customFormat="1" ht="18" customHeight="1" x14ac:dyDescent="0.2">
      <c r="A148" s="930"/>
      <c r="B148" s="930"/>
      <c r="C148" s="930"/>
      <c r="D148" s="930"/>
      <c r="E148" s="930"/>
      <c r="F148" s="930"/>
      <c r="G148" s="930"/>
      <c r="H148" s="930"/>
      <c r="I148" s="930"/>
      <c r="J148" s="930"/>
      <c r="K148" s="930"/>
      <c r="L148" s="930"/>
      <c r="M148" s="930"/>
      <c r="N148" s="194"/>
      <c r="O148" s="194"/>
      <c r="P148" s="109"/>
      <c r="Q148" s="109"/>
      <c r="R148" s="195"/>
    </row>
    <row r="149" spans="1:18" s="196" customFormat="1" ht="18" customHeight="1" x14ac:dyDescent="0.2">
      <c r="A149" s="111" t="s">
        <v>457</v>
      </c>
      <c r="B149" s="111"/>
      <c r="C149" s="930" t="s">
        <v>455</v>
      </c>
      <c r="D149" s="111" t="s">
        <v>305</v>
      </c>
      <c r="E149" s="118"/>
      <c r="F149" s="111"/>
      <c r="G149" s="930"/>
      <c r="H149" s="930"/>
      <c r="I149" s="930"/>
      <c r="J149" s="930"/>
      <c r="K149" s="930"/>
      <c r="L149" s="930"/>
      <c r="M149" s="930"/>
      <c r="N149" s="194"/>
      <c r="O149" s="194"/>
      <c r="P149" s="109"/>
      <c r="Q149" s="109"/>
      <c r="R149" s="195"/>
    </row>
    <row r="150" spans="1:18" s="196" customFormat="1" ht="18" customHeight="1" x14ac:dyDescent="0.2">
      <c r="A150" s="111" t="s">
        <v>458</v>
      </c>
      <c r="B150" s="111"/>
      <c r="C150" s="930" t="s">
        <v>455</v>
      </c>
      <c r="D150" s="111" t="s">
        <v>460</v>
      </c>
      <c r="E150" s="118"/>
      <c r="F150" s="111"/>
      <c r="G150" s="930"/>
      <c r="H150" s="930"/>
      <c r="I150" s="930"/>
      <c r="J150" s="930"/>
      <c r="K150" s="930"/>
      <c r="L150" s="930"/>
      <c r="M150" s="930"/>
      <c r="N150" s="194"/>
      <c r="O150" s="194"/>
      <c r="P150" s="109"/>
      <c r="Q150" s="109"/>
      <c r="R150" s="195"/>
    </row>
    <row r="151" spans="1:18" s="196" customFormat="1" ht="18" customHeight="1" thickBot="1" x14ac:dyDescent="0.25">
      <c r="A151" s="111" t="s">
        <v>459</v>
      </c>
      <c r="B151" s="111"/>
      <c r="C151" s="930" t="s">
        <v>455</v>
      </c>
      <c r="D151" s="111" t="s">
        <v>461</v>
      </c>
      <c r="E151" s="118"/>
      <c r="F151" s="111"/>
      <c r="G151" s="930"/>
      <c r="H151" s="930"/>
      <c r="I151" s="930"/>
      <c r="J151" s="930"/>
      <c r="K151" s="930"/>
      <c r="L151" s="930"/>
      <c r="M151" s="930"/>
      <c r="N151" s="194"/>
      <c r="O151" s="194"/>
      <c r="P151" s="109"/>
      <c r="Q151" s="109"/>
      <c r="R151" s="195"/>
    </row>
    <row r="152" spans="1:18" s="148" customFormat="1" ht="18" customHeight="1" x14ac:dyDescent="0.2">
      <c r="A152" s="1122" t="s">
        <v>642</v>
      </c>
      <c r="B152" s="1123"/>
      <c r="C152" s="1123"/>
      <c r="D152" s="1123"/>
      <c r="E152" s="1124"/>
      <c r="F152" s="1123"/>
      <c r="G152" s="1125"/>
      <c r="H152" s="931"/>
      <c r="I152" s="1126" t="s">
        <v>646</v>
      </c>
      <c r="J152" s="1127"/>
      <c r="K152" s="1126" t="s">
        <v>646</v>
      </c>
      <c r="L152" s="1127"/>
      <c r="M152" s="122"/>
      <c r="N152" s="115"/>
      <c r="O152" s="115"/>
      <c r="P152" s="116"/>
      <c r="Q152" s="116"/>
      <c r="R152" s="117"/>
    </row>
    <row r="153" spans="1:18" s="148" customFormat="1" ht="18" customHeight="1" x14ac:dyDescent="0.2">
      <c r="A153" s="123" t="s">
        <v>643</v>
      </c>
      <c r="B153" s="1133" t="s">
        <v>644</v>
      </c>
      <c r="C153" s="1134"/>
      <c r="D153" s="1135"/>
      <c r="E153" s="1136" t="s">
        <v>45</v>
      </c>
      <c r="F153" s="1137"/>
      <c r="G153" s="1138"/>
      <c r="H153" s="934" t="s">
        <v>46</v>
      </c>
      <c r="I153" s="1136" t="s">
        <v>1492</v>
      </c>
      <c r="J153" s="1138"/>
      <c r="K153" s="1137" t="s">
        <v>1550</v>
      </c>
      <c r="L153" s="1138"/>
      <c r="M153" s="124" t="s">
        <v>47</v>
      </c>
      <c r="N153" s="115"/>
      <c r="O153" s="115"/>
      <c r="P153" s="116"/>
      <c r="Q153" s="116"/>
      <c r="R153" s="117"/>
    </row>
    <row r="154" spans="1:18" s="148" customFormat="1" ht="18" customHeight="1" x14ac:dyDescent="0.2">
      <c r="A154" s="125"/>
      <c r="B154" s="934"/>
      <c r="C154" s="935"/>
      <c r="D154" s="935"/>
      <c r="E154" s="934"/>
      <c r="F154" s="935"/>
      <c r="G154" s="936"/>
      <c r="H154" s="934" t="s">
        <v>48</v>
      </c>
      <c r="I154" s="1139" t="s">
        <v>1551</v>
      </c>
      <c r="J154" s="1140"/>
      <c r="K154" s="1139"/>
      <c r="L154" s="1140"/>
      <c r="M154" s="124" t="s">
        <v>49</v>
      </c>
      <c r="N154" s="115"/>
      <c r="O154" s="115"/>
      <c r="P154" s="116"/>
      <c r="Q154" s="116"/>
      <c r="R154" s="117"/>
    </row>
    <row r="155" spans="1:18" s="148" customFormat="1" ht="18" customHeight="1" x14ac:dyDescent="0.2">
      <c r="A155" s="125"/>
      <c r="B155" s="934"/>
      <c r="C155" s="935"/>
      <c r="D155" s="935"/>
      <c r="E155" s="934"/>
      <c r="F155" s="935"/>
      <c r="G155" s="126"/>
      <c r="H155" s="127"/>
      <c r="I155" s="128" t="s">
        <v>645</v>
      </c>
      <c r="J155" s="129" t="s">
        <v>50</v>
      </c>
      <c r="K155" s="128" t="s">
        <v>645</v>
      </c>
      <c r="L155" s="129" t="s">
        <v>50</v>
      </c>
      <c r="M155" s="124"/>
      <c r="N155" s="115"/>
      <c r="O155" s="115"/>
      <c r="P155" s="116"/>
      <c r="Q155" s="116"/>
      <c r="R155" s="117"/>
    </row>
    <row r="156" spans="1:18" s="148" customFormat="1" ht="18" customHeight="1" thickBot="1" x14ac:dyDescent="0.25">
      <c r="A156" s="130"/>
      <c r="B156" s="1128"/>
      <c r="C156" s="1129"/>
      <c r="D156" s="1130"/>
      <c r="E156" s="1128"/>
      <c r="F156" s="1129"/>
      <c r="G156" s="1130"/>
      <c r="H156" s="131"/>
      <c r="I156" s="131"/>
      <c r="J156" s="131"/>
      <c r="K156" s="131"/>
      <c r="L156" s="131"/>
      <c r="M156" s="132"/>
      <c r="N156" s="115"/>
      <c r="O156" s="115"/>
      <c r="P156" s="116"/>
      <c r="Q156" s="116"/>
      <c r="R156" s="117"/>
    </row>
    <row r="157" spans="1:18" s="148" customFormat="1" ht="18" customHeight="1" x14ac:dyDescent="0.25">
      <c r="A157" s="185"/>
      <c r="B157" s="140"/>
      <c r="C157" s="140"/>
      <c r="D157" s="140"/>
      <c r="E157" s="156"/>
      <c r="F157" s="140"/>
      <c r="G157" s="142"/>
      <c r="H157" s="143"/>
      <c r="I157" s="188"/>
      <c r="J157" s="145"/>
      <c r="K157" s="188"/>
      <c r="L157" s="145"/>
      <c r="M157" s="146"/>
      <c r="N157" s="115"/>
      <c r="O157" s="115"/>
      <c r="P157" s="116"/>
      <c r="Q157" s="116"/>
      <c r="R157" s="117"/>
    </row>
    <row r="158" spans="1:18" s="148" customFormat="1" ht="18" customHeight="1" x14ac:dyDescent="0.25">
      <c r="A158" s="185">
        <v>12</v>
      </c>
      <c r="B158" s="140"/>
      <c r="C158" s="140"/>
      <c r="D158" s="140"/>
      <c r="E158" s="156" t="s">
        <v>73</v>
      </c>
      <c r="F158" s="140"/>
      <c r="G158" s="142"/>
      <c r="H158" s="143" t="s">
        <v>74</v>
      </c>
      <c r="I158" s="187" t="s">
        <v>114</v>
      </c>
      <c r="J158" s="145">
        <f>78411*12</f>
        <v>940932</v>
      </c>
      <c r="K158" s="187" t="s">
        <v>114</v>
      </c>
      <c r="L158" s="145">
        <v>959376</v>
      </c>
      <c r="M158" s="146">
        <f>L158-J158</f>
        <v>18444</v>
      </c>
      <c r="N158" s="115">
        <f>L158-J158</f>
        <v>18444</v>
      </c>
      <c r="O158" s="115">
        <f>N158-M158</f>
        <v>0</v>
      </c>
      <c r="P158" s="116">
        <v>66124</v>
      </c>
      <c r="Q158" s="116">
        <f>P158*12</f>
        <v>793488</v>
      </c>
      <c r="R158" s="147">
        <f>Q158-L158</f>
        <v>-165888</v>
      </c>
    </row>
    <row r="159" spans="1:18" s="148" customFormat="1" ht="18" customHeight="1" x14ac:dyDescent="0.25">
      <c r="A159" s="185"/>
      <c r="B159" s="140"/>
      <c r="C159" s="140"/>
      <c r="D159" s="140"/>
      <c r="E159" s="141" t="s">
        <v>75</v>
      </c>
      <c r="F159" s="140"/>
      <c r="G159" s="198"/>
      <c r="H159" s="143"/>
      <c r="I159" s="187"/>
      <c r="J159" s="145"/>
      <c r="K159" s="187"/>
      <c r="L159" s="145"/>
      <c r="M159" s="146"/>
      <c r="N159" s="115"/>
      <c r="O159" s="115"/>
      <c r="P159" s="116"/>
      <c r="Q159" s="116"/>
      <c r="R159" s="117"/>
    </row>
    <row r="160" spans="1:18" s="148" customFormat="1" ht="18" customHeight="1" x14ac:dyDescent="0.25">
      <c r="A160" s="185"/>
      <c r="B160" s="140"/>
      <c r="C160" s="140"/>
      <c r="D160" s="140"/>
      <c r="E160" s="141"/>
      <c r="F160" s="140"/>
      <c r="G160" s="198"/>
      <c r="H160" s="143"/>
      <c r="I160" s="187"/>
      <c r="J160" s="155"/>
      <c r="K160" s="187"/>
      <c r="L160" s="155"/>
      <c r="M160" s="146"/>
      <c r="N160" s="115"/>
      <c r="O160" s="115"/>
      <c r="P160" s="116"/>
      <c r="Q160" s="116"/>
      <c r="R160" s="117"/>
    </row>
    <row r="161" spans="1:18" s="148" customFormat="1" ht="18" customHeight="1" x14ac:dyDescent="0.25">
      <c r="A161" s="185"/>
      <c r="B161" s="140"/>
      <c r="C161" s="140"/>
      <c r="D161" s="140"/>
      <c r="E161" s="141"/>
      <c r="F161" s="140"/>
      <c r="G161" s="198"/>
      <c r="H161" s="143"/>
      <c r="I161" s="187"/>
      <c r="J161" s="145"/>
      <c r="K161" s="187"/>
      <c r="L161" s="145"/>
      <c r="M161" s="146"/>
      <c r="N161" s="115"/>
      <c r="O161" s="115"/>
      <c r="P161" s="116"/>
      <c r="Q161" s="116"/>
      <c r="R161" s="117"/>
    </row>
    <row r="162" spans="1:18" s="148" customFormat="1" ht="18" customHeight="1" x14ac:dyDescent="0.25">
      <c r="A162" s="185"/>
      <c r="B162" s="140"/>
      <c r="C162" s="140"/>
      <c r="D162" s="140"/>
      <c r="E162" s="156"/>
      <c r="F162" s="140"/>
      <c r="G162" s="142"/>
      <c r="H162" s="143"/>
      <c r="I162" s="188"/>
      <c r="J162" s="151"/>
      <c r="K162" s="188"/>
      <c r="L162" s="151"/>
      <c r="M162" s="146"/>
      <c r="N162" s="115"/>
      <c r="O162" s="115"/>
      <c r="P162" s="116"/>
      <c r="Q162" s="116"/>
      <c r="R162" s="117"/>
    </row>
    <row r="163" spans="1:18" s="148" customFormat="1" ht="18" customHeight="1" x14ac:dyDescent="0.25">
      <c r="A163" s="185">
        <v>13</v>
      </c>
      <c r="B163" s="140"/>
      <c r="C163" s="140"/>
      <c r="D163" s="140"/>
      <c r="E163" s="156" t="s">
        <v>76</v>
      </c>
      <c r="F163" s="140"/>
      <c r="G163" s="142"/>
      <c r="H163" s="143" t="s">
        <v>1490</v>
      </c>
      <c r="I163" s="187" t="s">
        <v>399</v>
      </c>
      <c r="J163" s="145">
        <f>18969*12</f>
        <v>227628</v>
      </c>
      <c r="K163" s="187" t="s">
        <v>399</v>
      </c>
      <c r="L163" s="145">
        <v>243540</v>
      </c>
      <c r="M163" s="146">
        <f>L163-J163</f>
        <v>15912</v>
      </c>
      <c r="N163" s="115">
        <f>L163-J163</f>
        <v>15912</v>
      </c>
      <c r="O163" s="115">
        <f>N163-M163</f>
        <v>0</v>
      </c>
      <c r="P163" s="116">
        <v>17152</v>
      </c>
      <c r="Q163" s="116">
        <f>P163*12</f>
        <v>205824</v>
      </c>
      <c r="R163" s="147">
        <f>Q163-L163</f>
        <v>-37716</v>
      </c>
    </row>
    <row r="164" spans="1:18" s="148" customFormat="1" ht="18" customHeight="1" x14ac:dyDescent="0.25">
      <c r="A164" s="185"/>
      <c r="B164" s="140"/>
      <c r="C164" s="140"/>
      <c r="D164" s="140"/>
      <c r="E164" s="156"/>
      <c r="F164" s="140"/>
      <c r="G164" s="142"/>
      <c r="H164" s="143"/>
      <c r="I164" s="187"/>
      <c r="J164" s="145"/>
      <c r="K164" s="187"/>
      <c r="L164" s="145"/>
      <c r="M164" s="146"/>
      <c r="N164" s="115"/>
      <c r="O164" s="115"/>
      <c r="P164" s="116"/>
      <c r="Q164" s="116"/>
      <c r="R164" s="147"/>
    </row>
    <row r="165" spans="1:18" s="148" customFormat="1" ht="18" customHeight="1" x14ac:dyDescent="0.25">
      <c r="A165" s="185"/>
      <c r="B165" s="140"/>
      <c r="C165" s="140"/>
      <c r="D165" s="140"/>
      <c r="E165" s="156"/>
      <c r="F165" s="140"/>
      <c r="G165" s="142"/>
      <c r="H165" s="143"/>
      <c r="I165" s="188"/>
      <c r="J165" s="145"/>
      <c r="K165" s="188"/>
      <c r="L165" s="145"/>
      <c r="M165" s="146"/>
      <c r="N165" s="115"/>
      <c r="O165" s="115"/>
      <c r="P165" s="116"/>
      <c r="Q165" s="116"/>
      <c r="R165" s="117"/>
    </row>
    <row r="166" spans="1:18" s="148" customFormat="1" ht="18" customHeight="1" x14ac:dyDescent="0.25">
      <c r="A166" s="185">
        <v>14</v>
      </c>
      <c r="B166" s="140"/>
      <c r="C166" s="140"/>
      <c r="D166" s="140"/>
      <c r="E166" s="156" t="s">
        <v>55</v>
      </c>
      <c r="F166" s="140"/>
      <c r="G166" s="142"/>
      <c r="H166" s="143" t="s">
        <v>1507</v>
      </c>
      <c r="I166" s="187" t="s">
        <v>57</v>
      </c>
      <c r="J166" s="145">
        <f>11736*12</f>
        <v>140832</v>
      </c>
      <c r="K166" s="187" t="s">
        <v>57</v>
      </c>
      <c r="L166" s="145">
        <v>146880</v>
      </c>
      <c r="M166" s="146">
        <f>L166-J166</f>
        <v>6048</v>
      </c>
      <c r="N166" s="115">
        <f>L166-J166</f>
        <v>6048</v>
      </c>
      <c r="O166" s="115">
        <f>N166-M166</f>
        <v>0</v>
      </c>
      <c r="P166" s="116">
        <v>11410</v>
      </c>
      <c r="Q166" s="116">
        <f>P166*12</f>
        <v>136920</v>
      </c>
      <c r="R166" s="147">
        <f>Q166-L166</f>
        <v>-9960</v>
      </c>
    </row>
    <row r="167" spans="1:18" s="148" customFormat="1" ht="18" customHeight="1" x14ac:dyDescent="0.25">
      <c r="A167" s="185"/>
      <c r="B167" s="140"/>
      <c r="C167" s="140"/>
      <c r="D167" s="140"/>
      <c r="E167" s="156"/>
      <c r="F167" s="140"/>
      <c r="G167" s="142"/>
      <c r="H167" s="143"/>
      <c r="I167" s="188"/>
      <c r="J167" s="151"/>
      <c r="K167" s="187" t="s">
        <v>112</v>
      </c>
      <c r="L167" s="145">
        <v>148008</v>
      </c>
      <c r="M167" s="146">
        <v>94</v>
      </c>
      <c r="N167" s="115"/>
      <c r="O167" s="115"/>
      <c r="P167" s="116"/>
      <c r="Q167" s="116"/>
      <c r="R167" s="117"/>
    </row>
    <row r="168" spans="1:18" s="148" customFormat="1" ht="18" customHeight="1" x14ac:dyDescent="0.25">
      <c r="A168" s="185"/>
      <c r="B168" s="140"/>
      <c r="C168" s="140"/>
      <c r="D168" s="140"/>
      <c r="E168" s="156"/>
      <c r="F168" s="140"/>
      <c r="G168" s="142"/>
      <c r="H168" s="143"/>
      <c r="I168" s="188"/>
      <c r="J168" s="151"/>
      <c r="K168" s="187"/>
      <c r="L168" s="151">
        <v>44547</v>
      </c>
      <c r="M168" s="146"/>
      <c r="N168" s="115"/>
      <c r="O168" s="115"/>
      <c r="P168" s="116"/>
      <c r="Q168" s="116"/>
      <c r="R168" s="117"/>
    </row>
    <row r="169" spans="1:18" s="148" customFormat="1" ht="18" customHeight="1" x14ac:dyDescent="0.25">
      <c r="A169" s="185"/>
      <c r="B169" s="140"/>
      <c r="C169" s="140"/>
      <c r="D169" s="140"/>
      <c r="E169" s="156"/>
      <c r="F169" s="140"/>
      <c r="G169" s="142"/>
      <c r="H169" s="143"/>
      <c r="I169" s="188"/>
      <c r="J169" s="151"/>
      <c r="K169" s="188"/>
      <c r="L169" s="151"/>
      <c r="M169" s="146"/>
      <c r="N169" s="115"/>
      <c r="O169" s="115"/>
      <c r="P169" s="116"/>
      <c r="Q169" s="116"/>
      <c r="R169" s="117"/>
    </row>
    <row r="170" spans="1:18" s="148" customFormat="1" ht="18" customHeight="1" x14ac:dyDescent="0.25">
      <c r="A170" s="185">
        <v>15</v>
      </c>
      <c r="B170" s="140"/>
      <c r="C170" s="140"/>
      <c r="D170" s="140"/>
      <c r="E170" s="156" t="s">
        <v>55</v>
      </c>
      <c r="F170" s="140"/>
      <c r="G170" s="142"/>
      <c r="H170" s="143" t="s">
        <v>286</v>
      </c>
      <c r="I170" s="187" t="s">
        <v>250</v>
      </c>
      <c r="J170" s="145">
        <f>11917*12</f>
        <v>143004</v>
      </c>
      <c r="K170" s="187" t="s">
        <v>250</v>
      </c>
      <c r="L170" s="145">
        <v>149148</v>
      </c>
      <c r="M170" s="146">
        <f>L170-J170</f>
        <v>6144</v>
      </c>
      <c r="N170" s="115">
        <f>L170-J170</f>
        <v>6144</v>
      </c>
      <c r="O170" s="115">
        <f>N170-M170</f>
        <v>0</v>
      </c>
      <c r="P170" s="116">
        <v>10861</v>
      </c>
      <c r="Q170" s="116">
        <f>P170*12</f>
        <v>130332</v>
      </c>
      <c r="R170" s="147">
        <f>Q170-L170</f>
        <v>-18816</v>
      </c>
    </row>
    <row r="171" spans="1:18" s="148" customFormat="1" ht="18" customHeight="1" x14ac:dyDescent="0.25">
      <c r="A171" s="185"/>
      <c r="B171" s="140"/>
      <c r="C171" s="140"/>
      <c r="D171" s="140"/>
      <c r="E171" s="156"/>
      <c r="F171" s="140"/>
      <c r="G171" s="142"/>
      <c r="H171" s="143"/>
      <c r="I171" s="187"/>
      <c r="J171" s="151"/>
      <c r="K171" s="187"/>
      <c r="L171" s="151"/>
      <c r="M171" s="146"/>
      <c r="N171" s="115"/>
      <c r="O171" s="115"/>
      <c r="P171" s="116"/>
      <c r="Q171" s="116"/>
      <c r="R171" s="147"/>
    </row>
    <row r="172" spans="1:18" s="148" customFormat="1" ht="18" customHeight="1" x14ac:dyDescent="0.25">
      <c r="A172" s="185"/>
      <c r="B172" s="140"/>
      <c r="C172" s="140"/>
      <c r="D172" s="140"/>
      <c r="E172" s="156"/>
      <c r="F172" s="140"/>
      <c r="G172" s="142"/>
      <c r="H172" s="143"/>
      <c r="I172" s="188"/>
      <c r="J172" s="145"/>
      <c r="K172" s="188"/>
      <c r="L172" s="145"/>
      <c r="M172" s="146"/>
      <c r="N172" s="115"/>
      <c r="O172" s="115"/>
      <c r="P172" s="116"/>
      <c r="Q172" s="116"/>
      <c r="R172" s="117"/>
    </row>
    <row r="173" spans="1:18" s="148" customFormat="1" ht="18" customHeight="1" x14ac:dyDescent="0.25">
      <c r="A173" s="185">
        <v>16</v>
      </c>
      <c r="B173" s="140"/>
      <c r="C173" s="140"/>
      <c r="D173" s="140"/>
      <c r="E173" s="156" t="s">
        <v>78</v>
      </c>
      <c r="F173" s="140"/>
      <c r="G173" s="142"/>
      <c r="H173" s="143" t="s">
        <v>77</v>
      </c>
      <c r="I173" s="187" t="s">
        <v>249</v>
      </c>
      <c r="J173" s="145">
        <f>13195*12</f>
        <v>158340</v>
      </c>
      <c r="K173" s="187" t="s">
        <v>249</v>
      </c>
      <c r="L173" s="145">
        <v>165240</v>
      </c>
      <c r="M173" s="146">
        <f>L173-J173</f>
        <v>6900</v>
      </c>
      <c r="N173" s="115">
        <f>L173-J173</f>
        <v>6900</v>
      </c>
      <c r="O173" s="115">
        <f>N173-M173</f>
        <v>0</v>
      </c>
      <c r="P173" s="116">
        <v>12912</v>
      </c>
      <c r="Q173" s="116">
        <f>P173*12</f>
        <v>154944</v>
      </c>
      <c r="R173" s="147">
        <f>Q173-L173</f>
        <v>-10296</v>
      </c>
    </row>
    <row r="174" spans="1:18" s="148" customFormat="1" ht="18" customHeight="1" x14ac:dyDescent="0.25">
      <c r="A174" s="185"/>
      <c r="B174" s="140"/>
      <c r="C174" s="140"/>
      <c r="D174" s="140"/>
      <c r="E174" s="156"/>
      <c r="F174" s="140"/>
      <c r="G174" s="142"/>
      <c r="H174" s="143"/>
      <c r="I174" s="187"/>
      <c r="J174" s="172"/>
      <c r="K174" s="187" t="s">
        <v>446</v>
      </c>
      <c r="L174" s="172">
        <v>166512</v>
      </c>
      <c r="M174" s="146">
        <v>212</v>
      </c>
      <c r="N174" s="115"/>
      <c r="O174" s="115"/>
      <c r="P174" s="116"/>
      <c r="Q174" s="116"/>
      <c r="R174" s="147"/>
    </row>
    <row r="175" spans="1:18" s="148" customFormat="1" ht="18" customHeight="1" x14ac:dyDescent="0.25">
      <c r="A175" s="185"/>
      <c r="B175" s="140"/>
      <c r="C175" s="140"/>
      <c r="D175" s="140"/>
      <c r="E175" s="156"/>
      <c r="F175" s="140"/>
      <c r="G175" s="142"/>
      <c r="H175" s="143"/>
      <c r="I175" s="187"/>
      <c r="J175" s="172"/>
      <c r="K175" s="187"/>
      <c r="L175" s="210">
        <v>44516</v>
      </c>
      <c r="M175" s="146"/>
      <c r="N175" s="115"/>
      <c r="O175" s="115"/>
      <c r="P175" s="116"/>
      <c r="Q175" s="116"/>
      <c r="R175" s="147"/>
    </row>
    <row r="176" spans="1:18" s="148" customFormat="1" ht="18" customHeight="1" x14ac:dyDescent="0.25">
      <c r="A176" s="185"/>
      <c r="B176" s="140"/>
      <c r="C176" s="140"/>
      <c r="D176" s="140"/>
      <c r="E176" s="156"/>
      <c r="F176" s="140"/>
      <c r="G176" s="142"/>
      <c r="H176" s="143"/>
      <c r="I176" s="187"/>
      <c r="J176" s="172"/>
      <c r="K176" s="187"/>
      <c r="L176" s="172"/>
      <c r="M176" s="146"/>
      <c r="N176" s="115"/>
      <c r="O176" s="115"/>
      <c r="P176" s="116"/>
      <c r="Q176" s="116"/>
      <c r="R176" s="147"/>
    </row>
    <row r="177" spans="1:18" s="148" customFormat="1" ht="18" customHeight="1" x14ac:dyDescent="0.25">
      <c r="A177" s="185">
        <v>17</v>
      </c>
      <c r="B177" s="140"/>
      <c r="C177" s="140"/>
      <c r="D177" s="140"/>
      <c r="E177" s="156" t="s">
        <v>943</v>
      </c>
      <c r="F177" s="140"/>
      <c r="G177" s="142"/>
      <c r="H177" s="143" t="s">
        <v>79</v>
      </c>
      <c r="I177" s="187" t="s">
        <v>168</v>
      </c>
      <c r="J177" s="172">
        <f>14879*12</f>
        <v>178548</v>
      </c>
      <c r="K177" s="187" t="s">
        <v>168</v>
      </c>
      <c r="L177" s="172">
        <v>186156</v>
      </c>
      <c r="M177" s="146">
        <f>L177-J177</f>
        <v>7608</v>
      </c>
      <c r="N177" s="115">
        <f>L177-J177</f>
        <v>7608</v>
      </c>
      <c r="O177" s="115">
        <f>N177-M177</f>
        <v>0</v>
      </c>
      <c r="P177" s="116">
        <v>13840</v>
      </c>
      <c r="Q177" s="116">
        <f>P177*12</f>
        <v>166080</v>
      </c>
      <c r="R177" s="147">
        <f>Q177-L177</f>
        <v>-20076</v>
      </c>
    </row>
    <row r="178" spans="1:18" s="148" customFormat="1" ht="18" customHeight="1" x14ac:dyDescent="0.25">
      <c r="A178" s="185"/>
      <c r="B178" s="140"/>
      <c r="C178" s="140"/>
      <c r="D178" s="140"/>
      <c r="E178" s="156"/>
      <c r="F178" s="140"/>
      <c r="G178" s="142"/>
      <c r="H178" s="143"/>
      <c r="I178" s="187"/>
      <c r="J178" s="172"/>
      <c r="K178" s="187" t="s">
        <v>397</v>
      </c>
      <c r="L178" s="172">
        <v>187848</v>
      </c>
      <c r="M178" s="146">
        <v>846</v>
      </c>
      <c r="N178" s="115"/>
      <c r="O178" s="115"/>
      <c r="P178" s="116"/>
      <c r="Q178" s="116"/>
      <c r="R178" s="147"/>
    </row>
    <row r="179" spans="1:18" s="148" customFormat="1" ht="18" customHeight="1" x14ac:dyDescent="0.25">
      <c r="A179" s="185"/>
      <c r="B179" s="140"/>
      <c r="C179" s="140"/>
      <c r="D179" s="140"/>
      <c r="E179" s="156"/>
      <c r="F179" s="140"/>
      <c r="G179" s="142"/>
      <c r="H179" s="143"/>
      <c r="I179" s="187"/>
      <c r="J179" s="172"/>
      <c r="K179" s="187"/>
      <c r="L179" s="210">
        <v>44397</v>
      </c>
      <c r="M179" s="146"/>
      <c r="N179" s="115"/>
      <c r="O179" s="115"/>
      <c r="P179" s="116"/>
      <c r="Q179" s="116"/>
      <c r="R179" s="147"/>
    </row>
    <row r="180" spans="1:18" s="148" customFormat="1" ht="18" customHeight="1" x14ac:dyDescent="0.25">
      <c r="A180" s="185"/>
      <c r="B180" s="140"/>
      <c r="C180" s="140"/>
      <c r="D180" s="140"/>
      <c r="E180" s="156"/>
      <c r="F180" s="140"/>
      <c r="G180" s="142"/>
      <c r="H180" s="143"/>
      <c r="I180" s="187"/>
      <c r="J180" s="172"/>
      <c r="K180" s="187"/>
      <c r="L180" s="172"/>
      <c r="M180" s="146"/>
      <c r="N180" s="115"/>
      <c r="O180" s="115"/>
      <c r="P180" s="116"/>
      <c r="Q180" s="116"/>
      <c r="R180" s="147"/>
    </row>
    <row r="181" spans="1:18" s="148" customFormat="1" ht="18" customHeight="1" x14ac:dyDescent="0.25">
      <c r="A181" s="185">
        <v>18</v>
      </c>
      <c r="B181" s="140"/>
      <c r="C181" s="140"/>
      <c r="D181" s="140"/>
      <c r="E181" s="156" t="s">
        <v>149</v>
      </c>
      <c r="F181" s="140"/>
      <c r="G181" s="142"/>
      <c r="H181" s="143" t="s">
        <v>1508</v>
      </c>
      <c r="I181" s="187" t="s">
        <v>157</v>
      </c>
      <c r="J181" s="172">
        <f>9818*12</f>
        <v>117816</v>
      </c>
      <c r="K181" s="187" t="s">
        <v>157</v>
      </c>
      <c r="L181" s="172">
        <v>122748</v>
      </c>
      <c r="M181" s="146">
        <f>L181-J181</f>
        <v>4932</v>
      </c>
      <c r="N181" s="115">
        <f>L181-J181</f>
        <v>4932</v>
      </c>
      <c r="O181" s="115">
        <f>N181-M181</f>
        <v>0</v>
      </c>
      <c r="P181" s="116">
        <v>8934</v>
      </c>
      <c r="Q181" s="116">
        <f>P181*12</f>
        <v>107208</v>
      </c>
      <c r="R181" s="147">
        <f>Q181-L181</f>
        <v>-15540</v>
      </c>
    </row>
    <row r="182" spans="1:18" s="148" customFormat="1" ht="18" customHeight="1" x14ac:dyDescent="0.25">
      <c r="A182" s="185"/>
      <c r="B182" s="140"/>
      <c r="C182" s="140"/>
      <c r="D182" s="140"/>
      <c r="E182" s="139"/>
      <c r="F182" s="140"/>
      <c r="G182" s="142"/>
      <c r="H182" s="143"/>
      <c r="I182" s="187"/>
      <c r="J182" s="172"/>
      <c r="K182" s="187" t="s">
        <v>154</v>
      </c>
      <c r="L182" s="172">
        <v>123768</v>
      </c>
      <c r="M182" s="146">
        <v>510</v>
      </c>
      <c r="N182" s="115"/>
      <c r="O182" s="115"/>
      <c r="P182" s="116"/>
      <c r="Q182" s="116"/>
      <c r="R182" s="117"/>
    </row>
    <row r="183" spans="1:18" s="148" customFormat="1" ht="18" customHeight="1" x14ac:dyDescent="0.25">
      <c r="A183" s="185"/>
      <c r="B183" s="140"/>
      <c r="C183" s="140"/>
      <c r="D183" s="140"/>
      <c r="E183" s="139"/>
      <c r="F183" s="140"/>
      <c r="G183" s="142"/>
      <c r="H183" s="143"/>
      <c r="I183" s="187"/>
      <c r="J183" s="172"/>
      <c r="K183" s="187"/>
      <c r="L183" s="210">
        <v>44397</v>
      </c>
      <c r="M183" s="146"/>
      <c r="N183" s="115"/>
      <c r="O183" s="115"/>
      <c r="P183" s="116"/>
      <c r="Q183" s="116"/>
      <c r="R183" s="117"/>
    </row>
    <row r="184" spans="1:18" s="148" customFormat="1" ht="18" customHeight="1" x14ac:dyDescent="0.25">
      <c r="A184" s="199"/>
      <c r="B184" s="200"/>
      <c r="C184" s="200"/>
      <c r="D184" s="200"/>
      <c r="E184" s="201"/>
      <c r="F184" s="200"/>
      <c r="G184" s="202"/>
      <c r="H184" s="203"/>
      <c r="I184" s="204"/>
      <c r="J184" s="205"/>
      <c r="K184" s="204"/>
      <c r="L184" s="205"/>
      <c r="M184" s="206"/>
      <c r="N184" s="115"/>
      <c r="O184" s="115"/>
      <c r="P184" s="116"/>
      <c r="Q184" s="116"/>
      <c r="R184" s="117"/>
    </row>
    <row r="185" spans="1:18" s="148" customFormat="1" ht="18" customHeight="1" x14ac:dyDescent="0.25">
      <c r="A185" s="185"/>
      <c r="B185" s="140"/>
      <c r="C185" s="140"/>
      <c r="D185" s="140"/>
      <c r="E185" s="139"/>
      <c r="F185" s="140"/>
      <c r="G185" s="142"/>
      <c r="H185" s="207" t="s">
        <v>963</v>
      </c>
      <c r="I185" s="208"/>
      <c r="J185" s="902">
        <f>SUM(J158:J184)</f>
        <v>1907100</v>
      </c>
      <c r="K185" s="208"/>
      <c r="L185" s="210"/>
      <c r="M185" s="209">
        <f>SUM(M158:M184)</f>
        <v>67650</v>
      </c>
      <c r="N185" s="115"/>
      <c r="O185" s="115"/>
      <c r="P185" s="116"/>
      <c r="Q185" s="116"/>
      <c r="R185" s="117"/>
    </row>
    <row r="186" spans="1:18" s="170" customFormat="1" ht="18" customHeight="1" thickBot="1" x14ac:dyDescent="0.3">
      <c r="A186" s="163"/>
      <c r="B186" s="160"/>
      <c r="C186" s="160"/>
      <c r="D186" s="160"/>
      <c r="E186" s="189"/>
      <c r="F186" s="160"/>
      <c r="G186" s="162"/>
      <c r="H186" s="211" t="s">
        <v>15</v>
      </c>
      <c r="I186" s="190"/>
      <c r="J186" s="165">
        <f>SUM(J185+J127)</f>
        <v>11644944</v>
      </c>
      <c r="K186" s="190"/>
      <c r="L186" s="165"/>
      <c r="M186" s="166">
        <f>SUM(M185+M127)</f>
        <v>258582</v>
      </c>
      <c r="N186" s="167"/>
      <c r="O186" s="167"/>
      <c r="P186" s="168"/>
      <c r="Q186" s="168"/>
      <c r="R186" s="169"/>
    </row>
    <row r="187" spans="1:18" s="148" customFormat="1" ht="18" customHeight="1" thickTop="1" x14ac:dyDescent="0.25">
      <c r="A187" s="140"/>
      <c r="B187" s="140"/>
      <c r="C187" s="140"/>
      <c r="D187" s="140"/>
      <c r="E187" s="140"/>
      <c r="F187" s="140"/>
      <c r="G187" s="157"/>
      <c r="H187" s="140"/>
      <c r="I187" s="140"/>
      <c r="J187" s="171"/>
      <c r="K187" s="154"/>
      <c r="L187" s="172"/>
      <c r="M187" s="173"/>
      <c r="N187" s="115"/>
      <c r="O187" s="115"/>
      <c r="P187" s="116"/>
      <c r="Q187" s="116"/>
      <c r="R187" s="117"/>
    </row>
    <row r="188" spans="1:18" s="148" customFormat="1" ht="18" customHeight="1" x14ac:dyDescent="0.25">
      <c r="A188" s="140"/>
      <c r="B188" s="140"/>
      <c r="C188" s="140"/>
      <c r="D188" s="140"/>
      <c r="E188" s="140"/>
      <c r="F188" s="140"/>
      <c r="G188" s="157"/>
      <c r="H188" s="157"/>
      <c r="I188" s="140"/>
      <c r="J188" s="157"/>
      <c r="K188" s="154"/>
      <c r="L188" s="172"/>
      <c r="M188" s="172"/>
      <c r="N188" s="115"/>
      <c r="O188" s="115"/>
      <c r="P188" s="116"/>
      <c r="Q188" s="116"/>
      <c r="R188" s="117"/>
    </row>
    <row r="189" spans="1:18" s="148" customFormat="1" ht="18" customHeight="1" x14ac:dyDescent="0.25">
      <c r="A189" s="176"/>
      <c r="B189" s="176"/>
      <c r="C189" s="933"/>
      <c r="D189" s="933"/>
      <c r="E189" s="176"/>
      <c r="F189" s="176"/>
      <c r="G189" s="176"/>
      <c r="H189" s="176"/>
      <c r="I189" s="176"/>
      <c r="J189" s="176"/>
      <c r="K189" s="178"/>
      <c r="L189" s="177"/>
      <c r="M189" s="177"/>
      <c r="N189" s="115"/>
      <c r="O189" s="115"/>
      <c r="P189" s="116"/>
      <c r="Q189" s="116"/>
      <c r="R189" s="117"/>
    </row>
    <row r="190" spans="1:18" s="148" customFormat="1" ht="18" customHeight="1" x14ac:dyDescent="0.25">
      <c r="A190" s="175" t="s">
        <v>636</v>
      </c>
      <c r="B190" s="175"/>
      <c r="C190" s="932"/>
      <c r="D190" s="932"/>
      <c r="E190" s="176"/>
      <c r="F190" s="176"/>
      <c r="G190" s="176"/>
      <c r="H190" s="175" t="s">
        <v>637</v>
      </c>
      <c r="I190" s="176"/>
      <c r="K190" s="175" t="s">
        <v>264</v>
      </c>
      <c r="L190" s="177"/>
      <c r="M190" s="177"/>
      <c r="N190" s="115"/>
      <c r="O190" s="115"/>
      <c r="P190" s="116"/>
      <c r="Q190" s="116"/>
      <c r="R190" s="117"/>
    </row>
    <row r="191" spans="1:18" s="148" customFormat="1" ht="18" customHeight="1" x14ac:dyDescent="0.25">
      <c r="A191" s="176"/>
      <c r="B191" s="176"/>
      <c r="C191" s="933"/>
      <c r="D191" s="933"/>
      <c r="E191" s="176"/>
      <c r="F191" s="176"/>
      <c r="G191" s="176"/>
      <c r="H191" s="176"/>
      <c r="I191" s="176"/>
      <c r="J191" s="176"/>
      <c r="K191" s="178"/>
      <c r="L191" s="177"/>
      <c r="M191" s="177"/>
      <c r="N191" s="115"/>
      <c r="O191" s="115"/>
      <c r="P191" s="116"/>
      <c r="Q191" s="116"/>
      <c r="R191" s="117"/>
    </row>
    <row r="192" spans="1:18" s="148" customFormat="1" ht="18" customHeight="1" x14ac:dyDescent="0.25">
      <c r="A192" s="1131" t="s">
        <v>66</v>
      </c>
      <c r="B192" s="1131"/>
      <c r="C192" s="1131"/>
      <c r="D192" s="1131"/>
      <c r="E192" s="1131"/>
      <c r="F192" s="1131"/>
      <c r="G192" s="176"/>
      <c r="H192" s="1131" t="s">
        <v>17</v>
      </c>
      <c r="I192" s="1131"/>
      <c r="J192" s="176"/>
      <c r="K192" s="1131" t="s">
        <v>1493</v>
      </c>
      <c r="L192" s="1131"/>
      <c r="M192" s="1131"/>
      <c r="N192" s="115"/>
      <c r="O192" s="115"/>
      <c r="P192" s="116"/>
      <c r="Q192" s="116"/>
      <c r="R192" s="117"/>
    </row>
    <row r="193" spans="1:18" s="148" customFormat="1" ht="18" customHeight="1" x14ac:dyDescent="0.25">
      <c r="A193" s="1132" t="s">
        <v>437</v>
      </c>
      <c r="B193" s="1132"/>
      <c r="C193" s="1132"/>
      <c r="D193" s="1132"/>
      <c r="E193" s="1132"/>
      <c r="F193" s="1132"/>
      <c r="G193" s="179"/>
      <c r="H193" s="1132" t="s">
        <v>18</v>
      </c>
      <c r="I193" s="1132"/>
      <c r="J193" s="932"/>
      <c r="K193" s="1132" t="s">
        <v>14</v>
      </c>
      <c r="L193" s="1132"/>
      <c r="M193" s="1132"/>
      <c r="N193" s="115"/>
      <c r="O193" s="115"/>
      <c r="P193" s="116"/>
      <c r="Q193" s="116"/>
      <c r="R193" s="117"/>
    </row>
    <row r="194" spans="1:18" ht="18" customHeight="1" x14ac:dyDescent="0.2">
      <c r="A194" s="111"/>
      <c r="B194" s="111"/>
      <c r="C194" s="930"/>
      <c r="D194" s="930"/>
      <c r="E194" s="1121"/>
      <c r="F194" s="1121"/>
      <c r="G194" s="1121"/>
      <c r="H194" s="930"/>
      <c r="I194" s="930"/>
      <c r="J194" s="930"/>
      <c r="K194" s="1121"/>
      <c r="L194" s="1121"/>
      <c r="M194" s="1121"/>
    </row>
    <row r="195" spans="1:18" ht="18" customHeight="1" x14ac:dyDescent="0.2">
      <c r="A195" s="111"/>
      <c r="B195" s="111"/>
      <c r="C195" s="930"/>
      <c r="D195" s="930"/>
      <c r="E195" s="930"/>
      <c r="F195" s="930"/>
      <c r="G195" s="930"/>
      <c r="H195" s="930"/>
      <c r="I195" s="930"/>
      <c r="J195" s="930"/>
      <c r="K195" s="930"/>
      <c r="L195" s="930"/>
      <c r="M195" s="930"/>
    </row>
    <row r="196" spans="1:18" ht="18" customHeight="1" x14ac:dyDescent="0.2">
      <c r="A196" s="111"/>
      <c r="B196" s="111"/>
      <c r="C196" s="930"/>
      <c r="D196" s="930"/>
      <c r="E196" s="930"/>
      <c r="F196" s="930"/>
      <c r="G196" s="930"/>
      <c r="H196" s="930"/>
      <c r="I196" s="930"/>
      <c r="J196" s="930"/>
      <c r="K196" s="930"/>
      <c r="L196" s="930"/>
      <c r="M196" s="930"/>
    </row>
    <row r="197" spans="1:18" ht="18" customHeight="1" x14ac:dyDescent="0.2">
      <c r="A197" s="111"/>
      <c r="B197" s="111"/>
      <c r="C197" s="930"/>
      <c r="D197" s="930"/>
      <c r="E197" s="930"/>
      <c r="F197" s="930"/>
      <c r="G197" s="930"/>
      <c r="H197" s="930"/>
      <c r="I197" s="930"/>
      <c r="J197" s="930"/>
      <c r="K197" s="930"/>
      <c r="L197" s="930"/>
      <c r="M197" s="930"/>
    </row>
    <row r="198" spans="1:18" ht="18" customHeight="1" x14ac:dyDescent="0.2">
      <c r="A198" s="111"/>
      <c r="B198" s="111"/>
      <c r="C198" s="930"/>
      <c r="D198" s="930"/>
      <c r="E198" s="930"/>
      <c r="F198" s="930"/>
      <c r="G198" s="930"/>
      <c r="H198" s="930"/>
      <c r="I198" s="930"/>
      <c r="J198" s="930"/>
      <c r="K198" s="930"/>
      <c r="L198" s="930"/>
      <c r="M198" s="930"/>
    </row>
    <row r="199" spans="1:18" ht="18" customHeight="1" x14ac:dyDescent="0.2">
      <c r="A199" s="111"/>
      <c r="B199" s="111"/>
      <c r="C199" s="930"/>
      <c r="D199" s="930"/>
      <c r="E199" s="930"/>
      <c r="F199" s="930"/>
      <c r="G199" s="930"/>
      <c r="H199" s="930"/>
      <c r="I199" s="930"/>
      <c r="J199" s="930"/>
      <c r="K199" s="930"/>
      <c r="L199" s="930"/>
      <c r="M199" s="930"/>
    </row>
    <row r="200" spans="1:18" ht="18" customHeight="1" x14ac:dyDescent="0.2">
      <c r="A200" s="111"/>
      <c r="B200" s="111"/>
      <c r="C200" s="930"/>
      <c r="D200" s="930"/>
      <c r="E200" s="930"/>
      <c r="F200" s="930"/>
      <c r="G200" s="930"/>
      <c r="H200" s="930"/>
      <c r="I200" s="930"/>
      <c r="J200" s="930"/>
      <c r="K200" s="930"/>
      <c r="L200" s="930"/>
      <c r="M200" s="930"/>
    </row>
    <row r="201" spans="1:18" ht="18" customHeight="1" x14ac:dyDescent="0.2">
      <c r="A201" s="111"/>
      <c r="B201" s="111"/>
      <c r="C201" s="930"/>
      <c r="D201" s="930"/>
      <c r="E201" s="930"/>
      <c r="F201" s="930"/>
      <c r="G201" s="930"/>
      <c r="H201" s="930"/>
      <c r="I201" s="930"/>
      <c r="J201" s="930"/>
      <c r="K201" s="930"/>
      <c r="L201" s="930"/>
      <c r="M201" s="930"/>
    </row>
    <row r="202" spans="1:18" ht="18" customHeight="1" x14ac:dyDescent="0.2">
      <c r="A202" s="111"/>
      <c r="B202" s="111"/>
      <c r="C202" s="930"/>
      <c r="D202" s="930"/>
      <c r="E202" s="930"/>
      <c r="F202" s="930"/>
      <c r="G202" s="930"/>
      <c r="H202" s="930"/>
      <c r="I202" s="930"/>
      <c r="J202" s="930"/>
      <c r="K202" s="930"/>
      <c r="L202" s="930"/>
      <c r="M202" s="930"/>
    </row>
    <row r="203" spans="1:18" ht="18" customHeight="1" x14ac:dyDescent="0.2">
      <c r="A203" s="111"/>
      <c r="B203" s="111"/>
      <c r="C203" s="930"/>
      <c r="D203" s="930"/>
      <c r="E203" s="930"/>
      <c r="F203" s="930"/>
      <c r="G203" s="930"/>
      <c r="H203" s="930"/>
      <c r="I203" s="930"/>
      <c r="J203" s="930"/>
      <c r="K203" s="930"/>
      <c r="L203" s="930"/>
      <c r="M203" s="930"/>
    </row>
    <row r="204" spans="1:18" ht="18" customHeight="1" x14ac:dyDescent="0.2">
      <c r="A204" s="111"/>
      <c r="B204" s="111"/>
      <c r="C204" s="930"/>
      <c r="D204" s="930"/>
      <c r="E204" s="930"/>
      <c r="F204" s="930"/>
      <c r="G204" s="930"/>
      <c r="H204" s="930"/>
      <c r="I204" s="930"/>
      <c r="J204" s="930"/>
      <c r="K204" s="930"/>
      <c r="L204" s="930"/>
      <c r="M204" s="930"/>
    </row>
    <row r="205" spans="1:18" ht="18" customHeight="1" x14ac:dyDescent="0.2">
      <c r="A205" s="111"/>
      <c r="B205" s="111"/>
      <c r="C205" s="930"/>
      <c r="D205" s="930"/>
      <c r="E205" s="930"/>
      <c r="F205" s="930"/>
      <c r="G205" s="930"/>
      <c r="H205" s="930"/>
      <c r="I205" s="930"/>
      <c r="J205" s="930"/>
      <c r="K205" s="930"/>
      <c r="L205" s="930"/>
      <c r="M205" s="930"/>
    </row>
    <row r="206" spans="1:18" ht="18" customHeight="1" x14ac:dyDescent="0.2">
      <c r="A206" s="111"/>
      <c r="B206" s="111"/>
      <c r="C206" s="930"/>
      <c r="D206" s="930"/>
      <c r="E206" s="930"/>
      <c r="F206" s="930"/>
      <c r="G206" s="930"/>
      <c r="H206" s="930"/>
      <c r="I206" s="930"/>
      <c r="J206" s="930"/>
      <c r="K206" s="930"/>
      <c r="L206" s="930"/>
      <c r="M206" s="930"/>
    </row>
    <row r="207" spans="1:18" ht="18" customHeight="1" x14ac:dyDescent="0.2">
      <c r="A207" s="111"/>
      <c r="B207" s="111"/>
      <c r="C207" s="930"/>
      <c r="D207" s="930"/>
      <c r="E207" s="930"/>
      <c r="F207" s="930"/>
      <c r="G207" s="930"/>
      <c r="H207" s="930"/>
      <c r="I207" s="930"/>
      <c r="J207" s="930"/>
      <c r="K207" s="930"/>
      <c r="L207" s="930"/>
      <c r="M207" s="930"/>
    </row>
    <row r="208" spans="1:18" ht="18" customHeight="1" x14ac:dyDescent="0.2">
      <c r="A208" s="111"/>
      <c r="B208" s="111"/>
      <c r="C208" s="930"/>
      <c r="D208" s="930"/>
      <c r="E208" s="930"/>
      <c r="F208" s="930"/>
      <c r="G208" s="930"/>
      <c r="H208" s="930"/>
      <c r="I208" s="930"/>
      <c r="J208" s="930"/>
      <c r="K208" s="930"/>
      <c r="L208" s="930"/>
      <c r="M208" s="930"/>
    </row>
    <row r="209" spans="1:13" ht="18" customHeight="1" x14ac:dyDescent="0.2">
      <c r="A209" s="111"/>
      <c r="B209" s="111"/>
      <c r="C209" s="930"/>
      <c r="D209" s="930"/>
      <c r="E209" s="930"/>
      <c r="F209" s="930"/>
      <c r="G209" s="930"/>
      <c r="H209" s="930"/>
      <c r="I209" s="930"/>
      <c r="J209" s="930"/>
      <c r="K209" s="930"/>
      <c r="L209" s="930"/>
      <c r="M209" s="930"/>
    </row>
    <row r="210" spans="1:13" ht="18" customHeight="1" x14ac:dyDescent="0.2">
      <c r="A210" s="111"/>
      <c r="B210" s="111"/>
      <c r="C210" s="930"/>
      <c r="D210" s="930"/>
      <c r="E210" s="930"/>
      <c r="F210" s="930"/>
      <c r="G210" s="930"/>
      <c r="H210" s="930"/>
      <c r="I210" s="930"/>
      <c r="J210" s="930"/>
      <c r="K210" s="930"/>
      <c r="L210" s="930"/>
      <c r="M210" s="930"/>
    </row>
    <row r="211" spans="1:13" ht="18" customHeight="1" x14ac:dyDescent="0.2">
      <c r="A211" s="111"/>
      <c r="B211" s="111"/>
      <c r="C211" s="930"/>
      <c r="D211" s="930"/>
      <c r="E211" s="930"/>
      <c r="F211" s="930"/>
      <c r="G211" s="930"/>
      <c r="H211" s="930"/>
      <c r="I211" s="930"/>
      <c r="J211" s="930"/>
      <c r="K211" s="930"/>
      <c r="L211" s="930"/>
      <c r="M211" s="930"/>
    </row>
    <row r="212" spans="1:13" ht="18" customHeight="1" x14ac:dyDescent="0.2">
      <c r="A212" s="111"/>
      <c r="B212" s="111"/>
      <c r="C212" s="930"/>
      <c r="D212" s="930"/>
      <c r="E212" s="930"/>
      <c r="F212" s="930"/>
      <c r="G212" s="930"/>
      <c r="H212" s="930"/>
      <c r="I212" s="930"/>
      <c r="J212" s="930"/>
      <c r="K212" s="930"/>
      <c r="L212" s="930"/>
      <c r="M212" s="930"/>
    </row>
    <row r="213" spans="1:13" ht="18" customHeight="1" x14ac:dyDescent="0.2">
      <c r="A213" s="111"/>
      <c r="B213" s="111"/>
      <c r="C213" s="930"/>
      <c r="D213" s="930"/>
      <c r="E213" s="930"/>
      <c r="F213" s="930"/>
      <c r="G213" s="930"/>
      <c r="H213" s="930"/>
      <c r="I213" s="930"/>
      <c r="J213" s="930"/>
      <c r="K213" s="930"/>
      <c r="L213" s="930"/>
      <c r="M213" s="930"/>
    </row>
    <row r="214" spans="1:13" ht="18" customHeight="1" x14ac:dyDescent="0.2">
      <c r="A214" s="111"/>
      <c r="B214" s="111"/>
      <c r="C214" s="930"/>
      <c r="D214" s="930"/>
      <c r="E214" s="930"/>
      <c r="F214" s="930"/>
      <c r="G214" s="930"/>
      <c r="H214" s="930"/>
      <c r="I214" s="930"/>
      <c r="J214" s="930"/>
      <c r="K214" s="930"/>
      <c r="L214" s="930"/>
      <c r="M214" s="930"/>
    </row>
    <row r="215" spans="1:13" ht="18" customHeight="1" x14ac:dyDescent="0.2">
      <c r="A215" s="111"/>
      <c r="B215" s="111"/>
      <c r="C215" s="930"/>
      <c r="D215" s="930"/>
      <c r="E215" s="930"/>
      <c r="F215" s="930"/>
      <c r="G215" s="930"/>
      <c r="H215" s="930"/>
      <c r="I215" s="930"/>
      <c r="J215" s="930"/>
      <c r="K215" s="930"/>
      <c r="L215" s="930"/>
      <c r="M215" s="930"/>
    </row>
    <row r="216" spans="1:13" ht="18" customHeight="1" x14ac:dyDescent="0.2">
      <c r="A216" s="111"/>
      <c r="B216" s="111"/>
      <c r="C216" s="930"/>
      <c r="D216" s="930"/>
      <c r="E216" s="930"/>
      <c r="F216" s="930"/>
      <c r="G216" s="930"/>
      <c r="H216" s="930"/>
      <c r="I216" s="930"/>
      <c r="J216" s="930"/>
      <c r="K216" s="930"/>
      <c r="L216" s="930"/>
      <c r="M216" s="930"/>
    </row>
    <row r="217" spans="1:13" ht="18" customHeight="1" x14ac:dyDescent="0.2">
      <c r="A217" s="111"/>
      <c r="B217" s="111"/>
      <c r="C217" s="930"/>
      <c r="D217" s="930"/>
      <c r="E217" s="930"/>
      <c r="F217" s="930"/>
      <c r="G217" s="930"/>
      <c r="H217" s="930"/>
      <c r="I217" s="930"/>
      <c r="J217" s="930"/>
      <c r="K217" s="930"/>
      <c r="L217" s="930"/>
      <c r="M217" s="930"/>
    </row>
    <row r="218" spans="1:13" ht="18" customHeight="1" x14ac:dyDescent="0.2">
      <c r="A218" s="111"/>
      <c r="B218" s="111"/>
      <c r="C218" s="930"/>
      <c r="D218" s="930"/>
      <c r="E218" s="930"/>
      <c r="F218" s="930"/>
      <c r="G218" s="930"/>
      <c r="H218" s="930"/>
      <c r="I218" s="930"/>
      <c r="J218" s="930"/>
      <c r="K218" s="930"/>
      <c r="L218" s="930"/>
      <c r="M218" s="930"/>
    </row>
    <row r="219" spans="1:13" ht="18" customHeight="1" x14ac:dyDescent="0.2"/>
    <row r="220" spans="1:13" ht="19.5" customHeight="1" x14ac:dyDescent="0.35">
      <c r="A220" s="1142" t="s">
        <v>1002</v>
      </c>
      <c r="B220" s="1142"/>
      <c r="C220" s="1142"/>
      <c r="D220" s="1142"/>
      <c r="E220" s="1142"/>
      <c r="F220" s="1142"/>
      <c r="G220" s="1142"/>
      <c r="H220" s="1142"/>
      <c r="I220" s="1142"/>
      <c r="J220" s="1142"/>
      <c r="K220" s="1142"/>
      <c r="L220" s="1142"/>
      <c r="M220" s="1142"/>
    </row>
    <row r="221" spans="1:13" ht="18" customHeight="1" x14ac:dyDescent="0.2">
      <c r="A221" s="110"/>
      <c r="B221" s="110"/>
      <c r="C221" s="937"/>
      <c r="D221" s="937"/>
      <c r="E221" s="111"/>
      <c r="F221" s="111"/>
      <c r="G221" s="111"/>
      <c r="H221" s="111"/>
      <c r="I221" s="111"/>
      <c r="J221" s="111"/>
      <c r="K221" s="112"/>
      <c r="M221" s="114"/>
    </row>
    <row r="222" spans="1:13" ht="18" customHeight="1" x14ac:dyDescent="0.3">
      <c r="A222" s="1119" t="s">
        <v>1549</v>
      </c>
      <c r="B222" s="1119"/>
      <c r="C222" s="1119"/>
      <c r="D222" s="1119"/>
      <c r="E222" s="1119"/>
      <c r="F222" s="1119"/>
      <c r="G222" s="1119"/>
      <c r="H222" s="1119"/>
      <c r="I222" s="1119"/>
      <c r="J222" s="1119"/>
      <c r="K222" s="1119"/>
      <c r="L222" s="1119"/>
      <c r="M222" s="1119"/>
    </row>
    <row r="223" spans="1:13" ht="18" customHeight="1" x14ac:dyDescent="0.3">
      <c r="A223" s="1120" t="s">
        <v>364</v>
      </c>
      <c r="B223" s="1120"/>
      <c r="C223" s="1120"/>
      <c r="D223" s="1120"/>
      <c r="E223" s="1120"/>
      <c r="F223" s="1120"/>
      <c r="G223" s="1120"/>
      <c r="H223" s="1120"/>
      <c r="I223" s="1120"/>
      <c r="J223" s="1120"/>
      <c r="K223" s="1120"/>
      <c r="L223" s="1120"/>
      <c r="M223" s="1120"/>
    </row>
    <row r="224" spans="1:13" ht="18" customHeight="1" x14ac:dyDescent="0.2">
      <c r="A224" s="1121"/>
      <c r="B224" s="1121"/>
      <c r="C224" s="1121"/>
      <c r="D224" s="1121"/>
      <c r="E224" s="1121"/>
      <c r="F224" s="1121"/>
      <c r="G224" s="1121"/>
      <c r="H224" s="1121"/>
      <c r="I224" s="1121"/>
      <c r="J224" s="1121"/>
      <c r="K224" s="1121"/>
      <c r="L224" s="1121"/>
      <c r="M224" s="1121"/>
    </row>
    <row r="225" spans="1:18" ht="18" customHeight="1" x14ac:dyDescent="0.2">
      <c r="A225" s="930"/>
      <c r="B225" s="930"/>
      <c r="C225" s="930"/>
      <c r="D225" s="930"/>
      <c r="E225" s="930"/>
      <c r="F225" s="930"/>
      <c r="G225" s="930"/>
      <c r="H225" s="930"/>
      <c r="I225" s="930"/>
      <c r="J225" s="930"/>
      <c r="K225" s="930"/>
      <c r="L225" s="930"/>
      <c r="M225" s="930"/>
    </row>
    <row r="226" spans="1:18" ht="18" customHeight="1" x14ac:dyDescent="0.2">
      <c r="A226" s="111" t="s">
        <v>457</v>
      </c>
      <c r="B226" s="111"/>
      <c r="C226" s="111" t="s">
        <v>455</v>
      </c>
      <c r="D226" s="111" t="s">
        <v>463</v>
      </c>
      <c r="E226" s="111"/>
      <c r="F226" s="111"/>
      <c r="G226" s="111"/>
      <c r="H226" s="930"/>
      <c r="I226" s="930"/>
      <c r="J226" s="930"/>
      <c r="K226" s="930"/>
      <c r="L226" s="930"/>
      <c r="M226" s="930"/>
    </row>
    <row r="227" spans="1:18" ht="18" customHeight="1" x14ac:dyDescent="0.2">
      <c r="A227" s="111" t="s">
        <v>458</v>
      </c>
      <c r="B227" s="111"/>
      <c r="C227" s="111" t="s">
        <v>455</v>
      </c>
      <c r="D227" s="111" t="s">
        <v>464</v>
      </c>
      <c r="E227" s="111"/>
      <c r="F227" s="111"/>
      <c r="G227" s="111"/>
      <c r="H227" s="930"/>
      <c r="I227" s="930"/>
      <c r="J227" s="930"/>
      <c r="K227" s="930"/>
      <c r="L227" s="930"/>
      <c r="M227" s="930"/>
    </row>
    <row r="228" spans="1:18" ht="18" customHeight="1" thickBot="1" x14ac:dyDescent="0.25">
      <c r="A228" s="111" t="s">
        <v>462</v>
      </c>
      <c r="B228" s="111"/>
      <c r="C228" s="111" t="s">
        <v>455</v>
      </c>
      <c r="D228" s="111" t="s">
        <v>685</v>
      </c>
      <c r="E228" s="111"/>
      <c r="F228" s="111"/>
      <c r="G228" s="111"/>
      <c r="H228" s="930"/>
      <c r="I228" s="930"/>
      <c r="J228" s="930"/>
      <c r="K228" s="930"/>
      <c r="L228" s="930"/>
      <c r="M228" s="930"/>
    </row>
    <row r="229" spans="1:18" ht="18" customHeight="1" x14ac:dyDescent="0.25">
      <c r="A229" s="1122" t="s">
        <v>642</v>
      </c>
      <c r="B229" s="1123"/>
      <c r="C229" s="1123"/>
      <c r="D229" s="1123"/>
      <c r="E229" s="1124"/>
      <c r="F229" s="1123"/>
      <c r="G229" s="1125"/>
      <c r="H229" s="121"/>
      <c r="I229" s="1126" t="s">
        <v>646</v>
      </c>
      <c r="J229" s="1127"/>
      <c r="K229" s="1126" t="s">
        <v>646</v>
      </c>
      <c r="L229" s="1127"/>
      <c r="M229" s="122"/>
      <c r="N229" s="182"/>
    </row>
    <row r="230" spans="1:18" ht="18" customHeight="1" x14ac:dyDescent="0.25">
      <c r="A230" s="123" t="s">
        <v>643</v>
      </c>
      <c r="B230" s="1133" t="s">
        <v>644</v>
      </c>
      <c r="C230" s="1134"/>
      <c r="D230" s="1135"/>
      <c r="E230" s="1136" t="s">
        <v>45</v>
      </c>
      <c r="F230" s="1137"/>
      <c r="G230" s="1138"/>
      <c r="H230" s="934" t="s">
        <v>46</v>
      </c>
      <c r="I230" s="1136" t="s">
        <v>1492</v>
      </c>
      <c r="J230" s="1138"/>
      <c r="K230" s="1137" t="s">
        <v>1550</v>
      </c>
      <c r="L230" s="1138"/>
      <c r="M230" s="124" t="s">
        <v>47</v>
      </c>
      <c r="N230" s="182"/>
    </row>
    <row r="231" spans="1:18" ht="18" customHeight="1" x14ac:dyDescent="0.25">
      <c r="A231" s="125"/>
      <c r="B231" s="934"/>
      <c r="C231" s="935"/>
      <c r="D231" s="935"/>
      <c r="E231" s="934"/>
      <c r="F231" s="935"/>
      <c r="G231" s="936"/>
      <c r="H231" s="934" t="s">
        <v>48</v>
      </c>
      <c r="I231" s="1139" t="s">
        <v>1551</v>
      </c>
      <c r="J231" s="1140"/>
      <c r="K231" s="1139"/>
      <c r="L231" s="1140"/>
      <c r="M231" s="124" t="s">
        <v>49</v>
      </c>
      <c r="N231" s="182"/>
    </row>
    <row r="232" spans="1:18" ht="18" customHeight="1" x14ac:dyDescent="0.25">
      <c r="A232" s="125"/>
      <c r="B232" s="934"/>
      <c r="C232" s="935"/>
      <c r="D232" s="935"/>
      <c r="E232" s="934"/>
      <c r="F232" s="935"/>
      <c r="G232" s="126"/>
      <c r="H232" s="127"/>
      <c r="I232" s="128" t="s">
        <v>645</v>
      </c>
      <c r="J232" s="129" t="s">
        <v>50</v>
      </c>
      <c r="K232" s="128" t="s">
        <v>645</v>
      </c>
      <c r="L232" s="129" t="s">
        <v>50</v>
      </c>
      <c r="M232" s="124"/>
      <c r="N232" s="182"/>
    </row>
    <row r="233" spans="1:18" ht="18" customHeight="1" thickBot="1" x14ac:dyDescent="0.25">
      <c r="A233" s="130"/>
      <c r="B233" s="1128"/>
      <c r="C233" s="1129"/>
      <c r="D233" s="1130"/>
      <c r="E233" s="1128"/>
      <c r="F233" s="1129"/>
      <c r="G233" s="1130"/>
      <c r="H233" s="131"/>
      <c r="I233" s="131"/>
      <c r="J233" s="131"/>
      <c r="K233" s="131"/>
      <c r="L233" s="131"/>
      <c r="M233" s="132"/>
    </row>
    <row r="234" spans="1:18" s="148" customFormat="1" ht="18" customHeight="1" x14ac:dyDescent="0.25">
      <c r="A234" s="185"/>
      <c r="B234" s="140"/>
      <c r="C234" s="140"/>
      <c r="D234" s="140"/>
      <c r="E234" s="139"/>
      <c r="F234" s="140"/>
      <c r="G234" s="142"/>
      <c r="H234" s="143"/>
      <c r="I234" s="213"/>
      <c r="J234" s="214"/>
      <c r="K234" s="213"/>
      <c r="L234" s="214"/>
      <c r="M234" s="145"/>
      <c r="N234" s="115"/>
      <c r="O234" s="115"/>
      <c r="P234" s="116"/>
      <c r="Q234" s="116"/>
      <c r="R234" s="117"/>
    </row>
    <row r="235" spans="1:18" s="148" customFormat="1" ht="18" customHeight="1" x14ac:dyDescent="0.25">
      <c r="A235" s="185">
        <v>1</v>
      </c>
      <c r="B235" s="140"/>
      <c r="C235" s="140"/>
      <c r="D235" s="140"/>
      <c r="E235" s="156" t="s">
        <v>80</v>
      </c>
      <c r="F235" s="140"/>
      <c r="G235" s="142"/>
      <c r="H235" s="143" t="s">
        <v>53</v>
      </c>
      <c r="I235" s="187" t="s">
        <v>254</v>
      </c>
      <c r="J235" s="214">
        <f>74693*12</f>
        <v>896316</v>
      </c>
      <c r="K235" s="187" t="s">
        <v>254</v>
      </c>
      <c r="L235" s="214">
        <v>913884</v>
      </c>
      <c r="M235" s="146">
        <f>L235-J235</f>
        <v>17568</v>
      </c>
      <c r="N235" s="115">
        <f>L235-J235</f>
        <v>17568</v>
      </c>
      <c r="O235" s="115">
        <f>N235-M235</f>
        <v>0</v>
      </c>
      <c r="P235" s="116">
        <v>63237</v>
      </c>
      <c r="Q235" s="116">
        <f>P235*12</f>
        <v>758844</v>
      </c>
      <c r="R235" s="147">
        <f>Q235-L235</f>
        <v>-155040</v>
      </c>
    </row>
    <row r="236" spans="1:18" s="148" customFormat="1" ht="18" customHeight="1" x14ac:dyDescent="0.25">
      <c r="A236" s="185"/>
      <c r="B236" s="140"/>
      <c r="C236" s="140"/>
      <c r="D236" s="140"/>
      <c r="E236" s="156" t="s">
        <v>1655</v>
      </c>
      <c r="F236" s="140"/>
      <c r="G236" s="142"/>
      <c r="H236" s="143"/>
      <c r="I236" s="187"/>
      <c r="J236" s="214"/>
      <c r="K236" s="187"/>
      <c r="L236" s="214"/>
      <c r="M236" s="146"/>
      <c r="N236" s="115"/>
      <c r="O236" s="115"/>
      <c r="P236" s="116"/>
      <c r="Q236" s="116"/>
      <c r="R236" s="147"/>
    </row>
    <row r="237" spans="1:18" s="148" customFormat="1" ht="18" customHeight="1" x14ac:dyDescent="0.25">
      <c r="A237" s="185"/>
      <c r="B237" s="140"/>
      <c r="C237" s="140"/>
      <c r="D237" s="140"/>
      <c r="E237" s="156"/>
      <c r="F237" s="140"/>
      <c r="G237" s="142"/>
      <c r="H237" s="143"/>
      <c r="I237" s="187"/>
      <c r="J237" s="215"/>
      <c r="K237" s="187"/>
      <c r="L237" s="215"/>
      <c r="M237" s="146"/>
      <c r="N237" s="115"/>
      <c r="O237" s="115"/>
      <c r="P237" s="116"/>
      <c r="Q237" s="116"/>
      <c r="R237" s="117"/>
    </row>
    <row r="238" spans="1:18" s="148" customFormat="1" ht="18" customHeight="1" x14ac:dyDescent="0.25">
      <c r="A238" s="185"/>
      <c r="B238" s="140"/>
      <c r="C238" s="140"/>
      <c r="D238" s="140"/>
      <c r="E238" s="156"/>
      <c r="F238" s="140"/>
      <c r="G238" s="142"/>
      <c r="H238" s="143"/>
      <c r="I238" s="188"/>
      <c r="J238" s="214"/>
      <c r="K238" s="188"/>
      <c r="L238" s="214"/>
      <c r="M238" s="145"/>
      <c r="N238" s="115"/>
      <c r="O238" s="115"/>
      <c r="P238" s="116"/>
      <c r="Q238" s="116"/>
      <c r="R238" s="117"/>
    </row>
    <row r="239" spans="1:18" s="148" customFormat="1" ht="18" customHeight="1" x14ac:dyDescent="0.25">
      <c r="A239" s="185">
        <v>2</v>
      </c>
      <c r="B239" s="140"/>
      <c r="C239" s="140"/>
      <c r="D239" s="140"/>
      <c r="E239" s="156" t="s">
        <v>82</v>
      </c>
      <c r="F239" s="140"/>
      <c r="G239" s="142"/>
      <c r="H239" s="143" t="s">
        <v>107</v>
      </c>
      <c r="I239" s="187" t="s">
        <v>83</v>
      </c>
      <c r="J239" s="214">
        <f>13921*12</f>
        <v>167052</v>
      </c>
      <c r="K239" s="187" t="s">
        <v>249</v>
      </c>
      <c r="L239" s="214">
        <v>165240</v>
      </c>
      <c r="M239" s="146">
        <f>L239-J239</f>
        <v>-1812</v>
      </c>
      <c r="N239" s="115">
        <f>L239-J239</f>
        <v>-1812</v>
      </c>
      <c r="O239" s="115">
        <f>N239-M239</f>
        <v>0</v>
      </c>
      <c r="P239" s="116">
        <v>12912</v>
      </c>
      <c r="Q239" s="116">
        <f>P239*12</f>
        <v>154944</v>
      </c>
      <c r="R239" s="147">
        <f>Q239-L239</f>
        <v>-10296</v>
      </c>
    </row>
    <row r="240" spans="1:18" s="148" customFormat="1" ht="18" customHeight="1" x14ac:dyDescent="0.25">
      <c r="A240" s="185"/>
      <c r="B240" s="140"/>
      <c r="C240" s="140"/>
      <c r="D240" s="140"/>
      <c r="E240" s="156"/>
      <c r="F240" s="140"/>
      <c r="G240" s="142"/>
      <c r="H240" s="143"/>
      <c r="I240" s="187"/>
      <c r="J240" s="214"/>
      <c r="K240" s="187"/>
      <c r="L240" s="214"/>
      <c r="M240" s="146"/>
      <c r="N240" s="115"/>
      <c r="O240" s="115"/>
      <c r="P240" s="116"/>
      <c r="Q240" s="116"/>
      <c r="R240" s="117"/>
    </row>
    <row r="241" spans="1:18" s="148" customFormat="1" ht="18" customHeight="1" x14ac:dyDescent="0.25">
      <c r="A241" s="185"/>
      <c r="B241" s="140"/>
      <c r="C241" s="140"/>
      <c r="D241" s="140"/>
      <c r="E241" s="156"/>
      <c r="F241" s="140"/>
      <c r="G241" s="142"/>
      <c r="H241" s="143"/>
      <c r="I241" s="188"/>
      <c r="J241" s="214"/>
      <c r="K241" s="188"/>
      <c r="L241" s="214"/>
      <c r="M241" s="145"/>
      <c r="N241" s="115"/>
      <c r="O241" s="115"/>
      <c r="P241" s="116"/>
      <c r="Q241" s="116"/>
      <c r="R241" s="117"/>
    </row>
    <row r="242" spans="1:18" s="148" customFormat="1" ht="18" customHeight="1" x14ac:dyDescent="0.25">
      <c r="A242" s="185">
        <v>3</v>
      </c>
      <c r="B242" s="140"/>
      <c r="C242" s="140"/>
      <c r="D242" s="140"/>
      <c r="E242" s="156" t="s">
        <v>55</v>
      </c>
      <c r="F242" s="140"/>
      <c r="G242" s="142"/>
      <c r="H242" s="143" t="s">
        <v>944</v>
      </c>
      <c r="I242" s="187" t="s">
        <v>112</v>
      </c>
      <c r="J242" s="214">
        <f>11827*12</f>
        <v>141924</v>
      </c>
      <c r="K242" s="187" t="s">
        <v>112</v>
      </c>
      <c r="L242" s="214">
        <v>148008</v>
      </c>
      <c r="M242" s="146">
        <f>L242-J242</f>
        <v>6084</v>
      </c>
      <c r="N242" s="115">
        <f>L242-J242</f>
        <v>6084</v>
      </c>
      <c r="O242" s="115">
        <f>N242-M242</f>
        <v>0</v>
      </c>
      <c r="P242" s="116">
        <v>10773</v>
      </c>
      <c r="Q242" s="116">
        <f>P242*12</f>
        <v>129276</v>
      </c>
      <c r="R242" s="147">
        <f>Q242-L242</f>
        <v>-18732</v>
      </c>
    </row>
    <row r="243" spans="1:18" s="148" customFormat="1" ht="18" customHeight="1" x14ac:dyDescent="0.25">
      <c r="A243" s="185"/>
      <c r="B243" s="140"/>
      <c r="C243" s="140"/>
      <c r="D243" s="140"/>
      <c r="E243" s="139"/>
      <c r="F243" s="140"/>
      <c r="G243" s="142"/>
      <c r="H243" s="143"/>
      <c r="I243" s="188"/>
      <c r="J243" s="215"/>
      <c r="K243" s="188"/>
      <c r="L243" s="215"/>
      <c r="M243" s="145"/>
      <c r="N243" s="115"/>
      <c r="O243" s="115"/>
      <c r="P243" s="116"/>
      <c r="Q243" s="116"/>
      <c r="R243" s="117"/>
    </row>
    <row r="244" spans="1:18" s="148" customFormat="1" ht="18" customHeight="1" x14ac:dyDescent="0.25">
      <c r="A244" s="185"/>
      <c r="B244" s="140"/>
      <c r="C244" s="140"/>
      <c r="D244" s="140"/>
      <c r="E244" s="139"/>
      <c r="F244" s="140"/>
      <c r="G244" s="142"/>
      <c r="H244" s="143"/>
      <c r="I244" s="144"/>
      <c r="J244" s="145"/>
      <c r="K244" s="144"/>
      <c r="L244" s="145"/>
      <c r="M244" s="145"/>
      <c r="N244" s="115"/>
      <c r="O244" s="115"/>
      <c r="P244" s="116"/>
      <c r="Q244" s="116"/>
      <c r="R244" s="117"/>
    </row>
    <row r="245" spans="1:18" s="148" customFormat="1" ht="18" customHeight="1" x14ac:dyDescent="0.25">
      <c r="A245" s="185"/>
      <c r="B245" s="1143">
        <v>4</v>
      </c>
      <c r="C245" s="1144"/>
      <c r="D245" s="1145"/>
      <c r="E245" s="156" t="s">
        <v>1652</v>
      </c>
      <c r="F245" s="938"/>
      <c r="G245" s="142"/>
      <c r="H245" s="143" t="s">
        <v>107</v>
      </c>
      <c r="I245" s="187"/>
      <c r="J245" s="214"/>
      <c r="K245" s="187" t="s">
        <v>399</v>
      </c>
      <c r="L245" s="214">
        <v>243540</v>
      </c>
      <c r="M245" s="146">
        <f>L245-J245</f>
        <v>243540</v>
      </c>
      <c r="N245" s="115">
        <f>L245-J245</f>
        <v>243540</v>
      </c>
      <c r="O245" s="115">
        <f>N245-M245</f>
        <v>0</v>
      </c>
      <c r="P245" s="116">
        <v>10773</v>
      </c>
      <c r="Q245" s="116">
        <f>P245*12</f>
        <v>129276</v>
      </c>
      <c r="R245" s="147">
        <f>Q245-L245</f>
        <v>-114264</v>
      </c>
    </row>
    <row r="246" spans="1:18" s="148" customFormat="1" ht="18" customHeight="1" x14ac:dyDescent="0.25">
      <c r="A246" s="185"/>
      <c r="B246" s="140"/>
      <c r="C246" s="140"/>
      <c r="D246" s="140"/>
      <c r="E246" s="139"/>
      <c r="F246" s="140"/>
      <c r="G246" s="142"/>
      <c r="H246" s="143" t="s">
        <v>1656</v>
      </c>
      <c r="I246" s="144"/>
      <c r="J246" s="145"/>
      <c r="K246" s="144"/>
      <c r="L246" s="145"/>
      <c r="M246" s="145"/>
      <c r="N246" s="115"/>
      <c r="O246" s="115"/>
      <c r="P246" s="116"/>
      <c r="Q246" s="116"/>
      <c r="R246" s="117"/>
    </row>
    <row r="247" spans="1:18" s="148" customFormat="1" ht="18" customHeight="1" x14ac:dyDescent="0.25">
      <c r="A247" s="185"/>
      <c r="B247" s="140"/>
      <c r="C247" s="140"/>
      <c r="D247" s="140"/>
      <c r="E247" s="139"/>
      <c r="F247" s="140"/>
      <c r="G247" s="142"/>
      <c r="H247" s="143"/>
      <c r="I247" s="144"/>
      <c r="J247" s="145"/>
      <c r="K247" s="144"/>
      <c r="L247" s="145"/>
      <c r="M247" s="145"/>
      <c r="N247" s="115"/>
      <c r="O247" s="115"/>
      <c r="P247" s="116"/>
      <c r="Q247" s="116"/>
      <c r="R247" s="117"/>
    </row>
    <row r="248" spans="1:18" s="148" customFormat="1" ht="18" customHeight="1" x14ac:dyDescent="0.25">
      <c r="A248" s="185"/>
      <c r="B248" s="140"/>
      <c r="C248" s="140"/>
      <c r="D248" s="140"/>
      <c r="E248" s="139"/>
      <c r="F248" s="140"/>
      <c r="G248" s="142"/>
      <c r="H248" s="143"/>
      <c r="I248" s="144"/>
      <c r="J248" s="145"/>
      <c r="K248" s="144"/>
      <c r="L248" s="145"/>
      <c r="M248" s="145"/>
      <c r="N248" s="115"/>
      <c r="O248" s="115"/>
      <c r="P248" s="116"/>
      <c r="Q248" s="116"/>
      <c r="R248" s="117"/>
    </row>
    <row r="249" spans="1:18" s="148" customFormat="1" ht="18" customHeight="1" x14ac:dyDescent="0.25">
      <c r="A249" s="185"/>
      <c r="B249" s="140"/>
      <c r="C249" s="140"/>
      <c r="D249" s="140"/>
      <c r="E249" s="139"/>
      <c r="F249" s="140"/>
      <c r="G249" s="142"/>
      <c r="H249" s="143"/>
      <c r="I249" s="144"/>
      <c r="J249" s="145"/>
      <c r="K249" s="144"/>
      <c r="L249" s="145"/>
      <c r="M249" s="145"/>
      <c r="N249" s="115"/>
      <c r="O249" s="115"/>
      <c r="P249" s="116"/>
      <c r="Q249" s="116"/>
      <c r="R249" s="117"/>
    </row>
    <row r="250" spans="1:18" s="148" customFormat="1" ht="18" customHeight="1" x14ac:dyDescent="0.25">
      <c r="A250" s="185"/>
      <c r="B250" s="140"/>
      <c r="C250" s="140"/>
      <c r="D250" s="140"/>
      <c r="E250" s="139"/>
      <c r="F250" s="140"/>
      <c r="G250" s="142"/>
      <c r="H250" s="143"/>
      <c r="I250" s="144"/>
      <c r="J250" s="145"/>
      <c r="K250" s="144"/>
      <c r="L250" s="145"/>
      <c r="M250" s="145"/>
      <c r="N250" s="115"/>
      <c r="O250" s="115"/>
      <c r="P250" s="116"/>
      <c r="Q250" s="116"/>
      <c r="R250" s="117"/>
    </row>
    <row r="251" spans="1:18" s="148" customFormat="1" ht="18" customHeight="1" x14ac:dyDescent="0.25">
      <c r="A251" s="185"/>
      <c r="B251" s="140"/>
      <c r="C251" s="140"/>
      <c r="D251" s="140"/>
      <c r="E251" s="139"/>
      <c r="F251" s="140"/>
      <c r="G251" s="142"/>
      <c r="H251" s="143"/>
      <c r="I251" s="213"/>
      <c r="J251" s="145"/>
      <c r="K251" s="213"/>
      <c r="L251" s="145"/>
      <c r="M251" s="145"/>
      <c r="N251" s="115"/>
      <c r="O251" s="115"/>
      <c r="P251" s="116"/>
      <c r="Q251" s="116"/>
      <c r="R251" s="117"/>
    </row>
    <row r="252" spans="1:18" s="148" customFormat="1" ht="18" customHeight="1" x14ac:dyDescent="0.25">
      <c r="A252" s="185"/>
      <c r="B252" s="140"/>
      <c r="C252" s="140"/>
      <c r="D252" s="140"/>
      <c r="E252" s="139"/>
      <c r="F252" s="140"/>
      <c r="G252" s="142"/>
      <c r="H252" s="143"/>
      <c r="I252" s="213"/>
      <c r="J252" s="145"/>
      <c r="K252" s="213"/>
      <c r="L252" s="145"/>
      <c r="M252" s="145"/>
      <c r="N252" s="115"/>
      <c r="O252" s="115"/>
      <c r="P252" s="116"/>
      <c r="Q252" s="116"/>
      <c r="R252" s="117"/>
    </row>
    <row r="253" spans="1:18" s="148" customFormat="1" ht="18" customHeight="1" x14ac:dyDescent="0.25">
      <c r="A253" s="185"/>
      <c r="B253" s="140"/>
      <c r="C253" s="140"/>
      <c r="D253" s="140"/>
      <c r="E253" s="139"/>
      <c r="F253" s="140"/>
      <c r="G253" s="142"/>
      <c r="H253" s="143"/>
      <c r="I253" s="213"/>
      <c r="J253" s="145"/>
      <c r="K253" s="213"/>
      <c r="L253" s="145"/>
      <c r="M253" s="145"/>
      <c r="N253" s="115"/>
      <c r="O253" s="115"/>
      <c r="P253" s="116"/>
      <c r="Q253" s="116"/>
      <c r="R253" s="117"/>
    </row>
    <row r="254" spans="1:18" s="148" customFormat="1" ht="18" customHeight="1" x14ac:dyDescent="0.25">
      <c r="A254" s="185"/>
      <c r="B254" s="140"/>
      <c r="C254" s="140"/>
      <c r="D254" s="140"/>
      <c r="E254" s="139"/>
      <c r="F254" s="140"/>
      <c r="G254" s="142"/>
      <c r="H254" s="143"/>
      <c r="I254" s="213"/>
      <c r="J254" s="145"/>
      <c r="K254" s="213"/>
      <c r="L254" s="145"/>
      <c r="M254" s="145"/>
      <c r="N254" s="115"/>
      <c r="O254" s="115"/>
      <c r="P254" s="116"/>
      <c r="Q254" s="116"/>
      <c r="R254" s="117"/>
    </row>
    <row r="255" spans="1:18" s="148" customFormat="1" ht="18" customHeight="1" x14ac:dyDescent="0.25">
      <c r="A255" s="185"/>
      <c r="B255" s="140"/>
      <c r="C255" s="140"/>
      <c r="D255" s="140"/>
      <c r="E255" s="139"/>
      <c r="F255" s="140"/>
      <c r="G255" s="142"/>
      <c r="H255" s="143"/>
      <c r="I255" s="213"/>
      <c r="J255" s="145"/>
      <c r="K255" s="213"/>
      <c r="L255" s="145"/>
      <c r="M255" s="145"/>
      <c r="N255" s="115"/>
      <c r="O255" s="115"/>
      <c r="P255" s="116"/>
      <c r="Q255" s="116"/>
      <c r="R255" s="117"/>
    </row>
    <row r="256" spans="1:18" s="148" customFormat="1" ht="18" customHeight="1" x14ac:dyDescent="0.25">
      <c r="A256" s="185"/>
      <c r="B256" s="140"/>
      <c r="C256" s="140"/>
      <c r="D256" s="140"/>
      <c r="E256" s="139"/>
      <c r="F256" s="140"/>
      <c r="G256" s="142"/>
      <c r="H256" s="143"/>
      <c r="I256" s="213"/>
      <c r="J256" s="145"/>
      <c r="K256" s="213"/>
      <c r="L256" s="145"/>
      <c r="M256" s="145"/>
      <c r="N256" s="115"/>
      <c r="O256" s="115"/>
      <c r="P256" s="116"/>
      <c r="Q256" s="116"/>
      <c r="R256" s="117"/>
    </row>
    <row r="257" spans="1:18" s="148" customFormat="1" ht="18" customHeight="1" x14ac:dyDescent="0.25">
      <c r="A257" s="185"/>
      <c r="B257" s="140"/>
      <c r="C257" s="140"/>
      <c r="D257" s="140"/>
      <c r="E257" s="139"/>
      <c r="F257" s="140"/>
      <c r="G257" s="142"/>
      <c r="H257" s="143"/>
      <c r="I257" s="213"/>
      <c r="J257" s="145"/>
      <c r="K257" s="213"/>
      <c r="L257" s="145"/>
      <c r="M257" s="145"/>
      <c r="N257" s="115"/>
      <c r="O257" s="115"/>
      <c r="P257" s="116"/>
      <c r="Q257" s="116"/>
      <c r="R257" s="117"/>
    </row>
    <row r="258" spans="1:18" s="148" customFormat="1" ht="18" customHeight="1" x14ac:dyDescent="0.25">
      <c r="A258" s="185"/>
      <c r="B258" s="140"/>
      <c r="C258" s="140"/>
      <c r="D258" s="140"/>
      <c r="E258" s="139"/>
      <c r="F258" s="140"/>
      <c r="G258" s="142"/>
      <c r="H258" s="143"/>
      <c r="I258" s="213"/>
      <c r="J258" s="145"/>
      <c r="K258" s="213"/>
      <c r="L258" s="145"/>
      <c r="M258" s="145"/>
      <c r="N258" s="115"/>
      <c r="O258" s="115"/>
      <c r="P258" s="116"/>
      <c r="Q258" s="116"/>
      <c r="R258" s="117"/>
    </row>
    <row r="259" spans="1:18" s="148" customFormat="1" ht="18" customHeight="1" x14ac:dyDescent="0.25">
      <c r="A259" s="185"/>
      <c r="B259" s="140"/>
      <c r="C259" s="140"/>
      <c r="D259" s="140"/>
      <c r="E259" s="139"/>
      <c r="F259" s="140"/>
      <c r="G259" s="142"/>
      <c r="H259" s="143"/>
      <c r="I259" s="213"/>
      <c r="J259" s="145"/>
      <c r="K259" s="213"/>
      <c r="L259" s="145"/>
      <c r="M259" s="145"/>
      <c r="N259" s="115"/>
      <c r="O259" s="115"/>
      <c r="P259" s="116"/>
      <c r="Q259" s="116"/>
      <c r="R259" s="117"/>
    </row>
    <row r="260" spans="1:18" s="148" customFormat="1" ht="18" customHeight="1" x14ac:dyDescent="0.25">
      <c r="A260" s="185"/>
      <c r="B260" s="140"/>
      <c r="C260" s="140"/>
      <c r="D260" s="140"/>
      <c r="E260" s="139"/>
      <c r="F260" s="140"/>
      <c r="G260" s="142"/>
      <c r="H260" s="143"/>
      <c r="I260" s="213"/>
      <c r="J260" s="145"/>
      <c r="K260" s="213"/>
      <c r="L260" s="145"/>
      <c r="M260" s="145"/>
      <c r="N260" s="115"/>
      <c r="O260" s="115"/>
      <c r="P260" s="116"/>
      <c r="Q260" s="116"/>
      <c r="R260" s="117"/>
    </row>
    <row r="261" spans="1:18" s="148" customFormat="1" ht="18" customHeight="1" x14ac:dyDescent="0.25">
      <c r="A261" s="185"/>
      <c r="B261" s="140"/>
      <c r="C261" s="140"/>
      <c r="D261" s="140"/>
      <c r="E261" s="139"/>
      <c r="F261" s="140"/>
      <c r="G261" s="142"/>
      <c r="H261" s="143"/>
      <c r="I261" s="213"/>
      <c r="J261" s="145"/>
      <c r="K261" s="213"/>
      <c r="L261" s="145"/>
      <c r="M261" s="145"/>
      <c r="N261" s="115"/>
      <c r="O261" s="115"/>
      <c r="P261" s="116"/>
      <c r="Q261" s="116"/>
      <c r="R261" s="117"/>
    </row>
    <row r="262" spans="1:18" s="148" customFormat="1" ht="18" customHeight="1" x14ac:dyDescent="0.25">
      <c r="A262" s="143"/>
      <c r="B262" s="157"/>
      <c r="C262" s="140"/>
      <c r="D262" s="140"/>
      <c r="E262" s="156"/>
      <c r="F262" s="157"/>
      <c r="G262" s="142"/>
      <c r="H262" s="143"/>
      <c r="I262" s="213"/>
      <c r="J262" s="145"/>
      <c r="K262" s="213"/>
      <c r="L262" s="145"/>
      <c r="M262" s="145"/>
      <c r="N262" s="115"/>
      <c r="O262" s="115"/>
      <c r="P262" s="116"/>
      <c r="Q262" s="116"/>
      <c r="R262" s="117"/>
    </row>
    <row r="263" spans="1:18" s="148" customFormat="1" ht="18" customHeight="1" x14ac:dyDescent="0.25">
      <c r="A263" s="143"/>
      <c r="B263" s="157"/>
      <c r="C263" s="140"/>
      <c r="D263" s="140"/>
      <c r="E263" s="156"/>
      <c r="F263" s="157"/>
      <c r="G263" s="142"/>
      <c r="H263" s="143"/>
      <c r="I263" s="213"/>
      <c r="J263" s="145"/>
      <c r="K263" s="213"/>
      <c r="L263" s="145"/>
      <c r="M263" s="145"/>
      <c r="N263" s="115"/>
      <c r="O263" s="115"/>
      <c r="P263" s="116"/>
      <c r="Q263" s="116"/>
      <c r="R263" s="117"/>
    </row>
    <row r="264" spans="1:18" s="148" customFormat="1" ht="18" customHeight="1" x14ac:dyDescent="0.25">
      <c r="A264" s="143"/>
      <c r="B264" s="157"/>
      <c r="C264" s="140"/>
      <c r="D264" s="140"/>
      <c r="E264" s="156"/>
      <c r="F264" s="157"/>
      <c r="G264" s="142"/>
      <c r="H264" s="143"/>
      <c r="I264" s="213"/>
      <c r="J264" s="145"/>
      <c r="K264" s="213"/>
      <c r="L264" s="145"/>
      <c r="M264" s="145"/>
      <c r="N264" s="115"/>
      <c r="O264" s="115"/>
      <c r="P264" s="116"/>
      <c r="Q264" s="116"/>
      <c r="R264" s="117"/>
    </row>
    <row r="265" spans="1:18" s="148" customFormat="1" ht="18" customHeight="1" x14ac:dyDescent="0.25">
      <c r="A265" s="143"/>
      <c r="B265" s="157"/>
      <c r="C265" s="140"/>
      <c r="D265" s="140"/>
      <c r="E265" s="156"/>
      <c r="F265" s="157"/>
      <c r="G265" s="142"/>
      <c r="H265" s="143"/>
      <c r="I265" s="213"/>
      <c r="J265" s="145"/>
      <c r="K265" s="213"/>
      <c r="L265" s="145"/>
      <c r="M265" s="145"/>
      <c r="N265" s="115"/>
      <c r="O265" s="115"/>
      <c r="P265" s="116"/>
      <c r="Q265" s="116"/>
      <c r="R265" s="117"/>
    </row>
    <row r="266" spans="1:18" s="148" customFormat="1" ht="18" customHeight="1" x14ac:dyDescent="0.25">
      <c r="A266" s="143"/>
      <c r="B266" s="157"/>
      <c r="C266" s="140"/>
      <c r="D266" s="140"/>
      <c r="E266" s="156"/>
      <c r="F266" s="157"/>
      <c r="G266" s="142"/>
      <c r="H266" s="143"/>
      <c r="I266" s="213"/>
      <c r="J266" s="145"/>
      <c r="K266" s="213"/>
      <c r="L266" s="145"/>
      <c r="M266" s="145"/>
      <c r="N266" s="115"/>
      <c r="O266" s="115"/>
      <c r="P266" s="116"/>
      <c r="Q266" s="116"/>
      <c r="R266" s="117"/>
    </row>
    <row r="267" spans="1:18" s="148" customFormat="1" ht="18" customHeight="1" x14ac:dyDescent="0.25">
      <c r="A267" s="143"/>
      <c r="B267" s="157"/>
      <c r="C267" s="140"/>
      <c r="D267" s="140"/>
      <c r="E267" s="156"/>
      <c r="F267" s="157"/>
      <c r="G267" s="142"/>
      <c r="H267" s="143"/>
      <c r="I267" s="213"/>
      <c r="J267" s="145"/>
      <c r="K267" s="213"/>
      <c r="L267" s="145"/>
      <c r="M267" s="145"/>
      <c r="N267" s="115"/>
      <c r="O267" s="115"/>
      <c r="P267" s="116"/>
      <c r="Q267" s="116"/>
      <c r="R267" s="117"/>
    </row>
    <row r="268" spans="1:18" s="148" customFormat="1" ht="18" customHeight="1" x14ac:dyDescent="0.25">
      <c r="A268" s="143"/>
      <c r="B268" s="157"/>
      <c r="C268" s="140"/>
      <c r="D268" s="140"/>
      <c r="E268" s="156"/>
      <c r="F268" s="157"/>
      <c r="G268" s="142"/>
      <c r="H268" s="143"/>
      <c r="I268" s="213"/>
      <c r="J268" s="145"/>
      <c r="K268" s="213"/>
      <c r="L268" s="145"/>
      <c r="M268" s="145"/>
      <c r="N268" s="115"/>
      <c r="O268" s="115"/>
      <c r="P268" s="116"/>
      <c r="Q268" s="116"/>
      <c r="R268" s="117"/>
    </row>
    <row r="269" spans="1:18" s="148" customFormat="1" ht="18" customHeight="1" x14ac:dyDescent="0.25">
      <c r="A269" s="143"/>
      <c r="B269" s="157"/>
      <c r="C269" s="140"/>
      <c r="D269" s="140"/>
      <c r="E269" s="156"/>
      <c r="F269" s="157"/>
      <c r="G269" s="142"/>
      <c r="H269" s="143"/>
      <c r="I269" s="213"/>
      <c r="J269" s="145"/>
      <c r="K269" s="213"/>
      <c r="L269" s="145"/>
      <c r="M269" s="145"/>
      <c r="N269" s="115"/>
      <c r="O269" s="115"/>
      <c r="P269" s="116"/>
      <c r="Q269" s="116"/>
      <c r="R269" s="117"/>
    </row>
    <row r="270" spans="1:18" s="148" customFormat="1" ht="18" customHeight="1" x14ac:dyDescent="0.25">
      <c r="A270" s="143"/>
      <c r="B270" s="157"/>
      <c r="C270" s="140"/>
      <c r="D270" s="140"/>
      <c r="E270" s="156"/>
      <c r="F270" s="157"/>
      <c r="G270" s="142"/>
      <c r="H270" s="143"/>
      <c r="I270" s="213"/>
      <c r="J270" s="145"/>
      <c r="K270" s="213"/>
      <c r="L270" s="145"/>
      <c r="M270" s="145"/>
      <c r="N270" s="115"/>
      <c r="O270" s="115"/>
      <c r="P270" s="116"/>
      <c r="Q270" s="116"/>
      <c r="R270" s="117"/>
    </row>
    <row r="271" spans="1:18" s="170" customFormat="1" ht="18" customHeight="1" thickBot="1" x14ac:dyDescent="0.3">
      <c r="A271" s="164"/>
      <c r="B271" s="161"/>
      <c r="C271" s="160"/>
      <c r="D271" s="160"/>
      <c r="E271" s="159"/>
      <c r="F271" s="161"/>
      <c r="G271" s="216"/>
      <c r="H271" s="163" t="s">
        <v>15</v>
      </c>
      <c r="I271" s="217"/>
      <c r="J271" s="165">
        <f>SUM(J235:J242)</f>
        <v>1205292</v>
      </c>
      <c r="K271" s="217"/>
      <c r="L271" s="165">
        <f>SUM(L235:L245)</f>
        <v>1470672</v>
      </c>
      <c r="M271" s="165">
        <f>SUM(M235:M245)</f>
        <v>265380</v>
      </c>
      <c r="N271" s="167"/>
      <c r="O271" s="167"/>
      <c r="P271" s="168"/>
      <c r="Q271" s="168"/>
      <c r="R271" s="169"/>
    </row>
    <row r="272" spans="1:18" s="148" customFormat="1" ht="18" customHeight="1" thickTop="1" x14ac:dyDescent="0.25">
      <c r="A272" s="157"/>
      <c r="B272" s="157"/>
      <c r="C272" s="140"/>
      <c r="D272" s="140"/>
      <c r="E272" s="157"/>
      <c r="F272" s="157"/>
      <c r="G272" s="140"/>
      <c r="H272" s="157"/>
      <c r="I272" s="157"/>
      <c r="J272" s="171"/>
      <c r="K272" s="174"/>
      <c r="L272" s="173"/>
      <c r="M272" s="173"/>
      <c r="N272" s="115"/>
      <c r="O272" s="115"/>
      <c r="P272" s="116"/>
      <c r="Q272" s="116"/>
      <c r="R272" s="117"/>
    </row>
    <row r="273" spans="1:22" s="148" customFormat="1" ht="18" customHeight="1" x14ac:dyDescent="0.25">
      <c r="A273" s="157"/>
      <c r="B273" s="157"/>
      <c r="C273" s="140"/>
      <c r="D273" s="140"/>
      <c r="E273" s="157"/>
      <c r="F273" s="157"/>
      <c r="G273" s="157"/>
      <c r="H273" s="157"/>
      <c r="I273" s="157"/>
      <c r="J273" s="157"/>
      <c r="K273" s="174"/>
      <c r="L273" s="172"/>
      <c r="M273" s="172"/>
      <c r="N273" s="115"/>
      <c r="O273" s="115"/>
      <c r="P273" s="116"/>
      <c r="Q273" s="116"/>
      <c r="R273" s="117"/>
    </row>
    <row r="274" spans="1:22" s="148" customFormat="1" ht="18" customHeight="1" x14ac:dyDescent="0.25">
      <c r="A274" s="157"/>
      <c r="B274" s="157"/>
      <c r="C274" s="140"/>
      <c r="D274" s="140"/>
      <c r="E274" s="157"/>
      <c r="F274" s="157"/>
      <c r="G274" s="157"/>
      <c r="H274" s="157"/>
      <c r="I274" s="157"/>
      <c r="J274" s="157"/>
      <c r="K274" s="174"/>
      <c r="L274" s="172"/>
      <c r="M274" s="172"/>
      <c r="N274" s="115"/>
      <c r="O274" s="115"/>
      <c r="P274" s="116"/>
      <c r="Q274" s="116"/>
      <c r="R274" s="117"/>
    </row>
    <row r="275" spans="1:22" s="148" customFormat="1" ht="18" customHeight="1" x14ac:dyDescent="0.25">
      <c r="A275" s="175" t="s">
        <v>636</v>
      </c>
      <c r="B275" s="175"/>
      <c r="C275" s="932"/>
      <c r="D275" s="932"/>
      <c r="E275" s="176"/>
      <c r="F275" s="176"/>
      <c r="G275" s="176"/>
      <c r="H275" s="175" t="s">
        <v>637</v>
      </c>
      <c r="I275" s="176"/>
      <c r="K275" s="175" t="s">
        <v>264</v>
      </c>
      <c r="L275" s="177"/>
      <c r="M275" s="177"/>
      <c r="N275" s="115"/>
      <c r="O275" s="115"/>
      <c r="P275" s="116"/>
      <c r="Q275" s="116"/>
      <c r="R275" s="117"/>
    </row>
    <row r="276" spans="1:22" s="148" customFormat="1" ht="18" customHeight="1" x14ac:dyDescent="0.25">
      <c r="A276" s="176"/>
      <c r="B276" s="176"/>
      <c r="C276" s="933"/>
      <c r="D276" s="933"/>
      <c r="E276" s="176"/>
      <c r="F276" s="176"/>
      <c r="G276" s="176"/>
      <c r="H276" s="176"/>
      <c r="I276" s="176"/>
      <c r="J276" s="176"/>
      <c r="K276" s="178"/>
      <c r="L276" s="177"/>
      <c r="M276" s="177"/>
      <c r="N276" s="115"/>
      <c r="O276" s="115"/>
      <c r="P276" s="116"/>
      <c r="Q276" s="116"/>
      <c r="R276" s="117"/>
    </row>
    <row r="277" spans="1:22" s="148" customFormat="1" ht="18" customHeight="1" x14ac:dyDescent="0.25">
      <c r="A277" s="1131" t="s">
        <v>66</v>
      </c>
      <c r="B277" s="1131"/>
      <c r="C277" s="1131"/>
      <c r="D277" s="1131"/>
      <c r="E277" s="1131"/>
      <c r="F277" s="1131"/>
      <c r="G277" s="176"/>
      <c r="H277" s="1131" t="s">
        <v>17</v>
      </c>
      <c r="I277" s="1131"/>
      <c r="J277" s="176"/>
      <c r="K277" s="1131" t="s">
        <v>1493</v>
      </c>
      <c r="L277" s="1131"/>
      <c r="M277" s="1131"/>
      <c r="N277" s="115"/>
      <c r="O277" s="115"/>
      <c r="P277" s="116"/>
      <c r="Q277" s="116"/>
      <c r="R277" s="117"/>
    </row>
    <row r="278" spans="1:22" s="148" customFormat="1" ht="18" customHeight="1" x14ac:dyDescent="0.25">
      <c r="A278" s="1132" t="s">
        <v>437</v>
      </c>
      <c r="B278" s="1132"/>
      <c r="C278" s="1132"/>
      <c r="D278" s="1132"/>
      <c r="E278" s="1132"/>
      <c r="F278" s="1132"/>
      <c r="G278" s="179"/>
      <c r="H278" s="1132" t="s">
        <v>18</v>
      </c>
      <c r="I278" s="1132"/>
      <c r="J278" s="932"/>
      <c r="K278" s="1132" t="s">
        <v>14</v>
      </c>
      <c r="L278" s="1132"/>
      <c r="M278" s="1132"/>
      <c r="N278" s="115"/>
      <c r="O278" s="115"/>
      <c r="P278" s="116"/>
      <c r="Q278" s="116"/>
      <c r="R278" s="117"/>
    </row>
    <row r="279" spans="1:22" ht="18" customHeight="1" x14ac:dyDescent="0.2">
      <c r="A279" s="111"/>
      <c r="B279" s="111"/>
      <c r="C279" s="930"/>
      <c r="D279" s="930"/>
      <c r="E279" s="1121"/>
      <c r="F279" s="1121"/>
      <c r="G279" s="1121"/>
      <c r="H279" s="930"/>
      <c r="I279" s="930"/>
      <c r="J279" s="930"/>
      <c r="K279" s="1121"/>
      <c r="L279" s="1121"/>
      <c r="M279" s="1121"/>
    </row>
    <row r="280" spans="1:22" ht="18" customHeight="1" x14ac:dyDescent="0.2">
      <c r="A280" s="111"/>
      <c r="B280" s="111"/>
      <c r="C280" s="930"/>
      <c r="D280" s="930"/>
      <c r="E280" s="111"/>
      <c r="F280" s="111"/>
      <c r="G280" s="111"/>
      <c r="H280" s="111"/>
      <c r="I280" s="111"/>
      <c r="J280" s="111"/>
      <c r="K280" s="112"/>
      <c r="M280" s="113"/>
    </row>
    <row r="281" spans="1:22" ht="18" customHeight="1" x14ac:dyDescent="0.2">
      <c r="A281" s="111"/>
      <c r="B281" s="111"/>
      <c r="C281" s="930"/>
      <c r="D281" s="930"/>
      <c r="E281" s="111"/>
      <c r="F281" s="111"/>
      <c r="G281" s="111"/>
      <c r="H281" s="111"/>
      <c r="I281" s="111"/>
      <c r="J281" s="111"/>
      <c r="K281" s="112"/>
      <c r="M281" s="113"/>
    </row>
    <row r="282" spans="1:22" ht="18" customHeight="1" x14ac:dyDescent="0.2">
      <c r="A282" s="111"/>
      <c r="B282" s="111"/>
      <c r="C282" s="930"/>
      <c r="D282" s="930"/>
      <c r="E282" s="111"/>
      <c r="F282" s="111"/>
      <c r="G282" s="111"/>
      <c r="H282" s="111"/>
      <c r="I282" s="111"/>
      <c r="J282" s="111"/>
      <c r="K282" s="112"/>
      <c r="M282" s="113"/>
    </row>
    <row r="283" spans="1:22" ht="18" customHeight="1" x14ac:dyDescent="0.2">
      <c r="A283" s="111"/>
      <c r="B283" s="111"/>
      <c r="C283" s="930"/>
      <c r="D283" s="930"/>
      <c r="E283" s="111"/>
      <c r="F283" s="111"/>
      <c r="G283" s="111"/>
      <c r="H283" s="111"/>
      <c r="I283" s="111"/>
      <c r="J283" s="111"/>
      <c r="K283" s="112"/>
      <c r="M283" s="113"/>
    </row>
    <row r="284" spans="1:22" ht="18" customHeight="1" x14ac:dyDescent="0.2">
      <c r="A284" s="111"/>
      <c r="B284" s="111"/>
      <c r="C284" s="930"/>
      <c r="D284" s="930"/>
      <c r="E284" s="111"/>
      <c r="F284" s="111"/>
      <c r="G284" s="111"/>
      <c r="H284" s="111"/>
      <c r="I284" s="111"/>
      <c r="J284" s="111"/>
      <c r="K284" s="112"/>
      <c r="M284" s="113"/>
    </row>
    <row r="285" spans="1:22" ht="18" customHeight="1" x14ac:dyDescent="0.2">
      <c r="A285" s="111"/>
      <c r="B285" s="111"/>
      <c r="C285" s="930"/>
      <c r="D285" s="930"/>
      <c r="E285" s="111"/>
      <c r="F285" s="111"/>
      <c r="G285" s="111"/>
      <c r="H285" s="111"/>
      <c r="I285" s="111"/>
      <c r="J285" s="111"/>
      <c r="K285" s="112"/>
      <c r="M285" s="113"/>
    </row>
    <row r="286" spans="1:22" s="115" customFormat="1" ht="18" customHeight="1" x14ac:dyDescent="0.2">
      <c r="A286" s="111"/>
      <c r="B286" s="111"/>
      <c r="C286" s="930"/>
      <c r="D286" s="930"/>
      <c r="E286" s="111"/>
      <c r="F286" s="111"/>
      <c r="G286" s="111"/>
      <c r="H286" s="111"/>
      <c r="I286" s="111"/>
      <c r="J286" s="111"/>
      <c r="K286" s="112"/>
      <c r="L286" s="113"/>
      <c r="M286" s="113"/>
      <c r="P286" s="116"/>
      <c r="Q286" s="116"/>
      <c r="R286" s="117"/>
      <c r="S286" s="118"/>
      <c r="T286" s="118"/>
      <c r="U286" s="118"/>
      <c r="V286" s="118"/>
    </row>
    <row r="287" spans="1:22" s="115" customFormat="1" ht="18" customHeight="1" x14ac:dyDescent="0.2">
      <c r="A287" s="111"/>
      <c r="B287" s="111"/>
      <c r="C287" s="930"/>
      <c r="D287" s="930"/>
      <c r="E287" s="111"/>
      <c r="F287" s="111"/>
      <c r="G287" s="111"/>
      <c r="H287" s="111"/>
      <c r="I287" s="111"/>
      <c r="J287" s="111"/>
      <c r="K287" s="112"/>
      <c r="L287" s="113"/>
      <c r="M287" s="113"/>
      <c r="P287" s="116"/>
      <c r="Q287" s="116"/>
      <c r="R287" s="117"/>
      <c r="S287" s="118"/>
      <c r="T287" s="118"/>
      <c r="U287" s="118"/>
      <c r="V287" s="118"/>
    </row>
    <row r="288" spans="1:22" s="115" customFormat="1" ht="18" customHeight="1" x14ac:dyDescent="0.2">
      <c r="A288" s="111"/>
      <c r="B288" s="111"/>
      <c r="C288" s="930"/>
      <c r="D288" s="930"/>
      <c r="E288" s="111"/>
      <c r="F288" s="111"/>
      <c r="G288" s="111"/>
      <c r="H288" s="111"/>
      <c r="I288" s="111"/>
      <c r="J288" s="111"/>
      <c r="K288" s="112"/>
      <c r="L288" s="113"/>
      <c r="M288" s="113"/>
      <c r="P288" s="116"/>
      <c r="Q288" s="116"/>
      <c r="R288" s="117"/>
      <c r="S288" s="118"/>
      <c r="T288" s="118"/>
      <c r="U288" s="118"/>
      <c r="V288" s="118"/>
    </row>
    <row r="289" spans="1:22" s="115" customFormat="1" ht="18" customHeight="1" x14ac:dyDescent="0.2">
      <c r="A289" s="111"/>
      <c r="B289" s="111"/>
      <c r="C289" s="930"/>
      <c r="D289" s="930"/>
      <c r="E289" s="111"/>
      <c r="F289" s="111"/>
      <c r="G289" s="111"/>
      <c r="H289" s="111"/>
      <c r="I289" s="111"/>
      <c r="J289" s="111"/>
      <c r="K289" s="112"/>
      <c r="L289" s="113"/>
      <c r="M289" s="113"/>
      <c r="P289" s="116"/>
      <c r="Q289" s="116"/>
      <c r="R289" s="117"/>
      <c r="S289" s="118"/>
      <c r="T289" s="118"/>
      <c r="U289" s="118"/>
      <c r="V289" s="118"/>
    </row>
    <row r="290" spans="1:22" s="115" customFormat="1" ht="18" customHeight="1" x14ac:dyDescent="0.2">
      <c r="A290" s="111"/>
      <c r="B290" s="111"/>
      <c r="C290" s="930"/>
      <c r="D290" s="930"/>
      <c r="E290" s="111"/>
      <c r="F290" s="111"/>
      <c r="G290" s="111"/>
      <c r="H290" s="111"/>
      <c r="I290" s="111"/>
      <c r="J290" s="111"/>
      <c r="K290" s="112"/>
      <c r="L290" s="113"/>
      <c r="M290" s="113"/>
      <c r="P290" s="116"/>
      <c r="Q290" s="116"/>
      <c r="R290" s="117"/>
      <c r="S290" s="118"/>
      <c r="T290" s="118"/>
      <c r="U290" s="118"/>
      <c r="V290" s="118"/>
    </row>
    <row r="291" spans="1:22" s="115" customFormat="1" ht="20.100000000000001" customHeight="1" x14ac:dyDescent="0.35">
      <c r="A291" s="1142" t="s">
        <v>1003</v>
      </c>
      <c r="B291" s="1142"/>
      <c r="C291" s="1142"/>
      <c r="D291" s="1142"/>
      <c r="E291" s="1142"/>
      <c r="F291" s="1142"/>
      <c r="G291" s="1142"/>
      <c r="H291" s="1142"/>
      <c r="I291" s="1142"/>
      <c r="J291" s="1142"/>
      <c r="K291" s="1142"/>
      <c r="L291" s="1142"/>
      <c r="M291" s="1142"/>
      <c r="P291" s="116"/>
      <c r="Q291" s="116"/>
      <c r="R291" s="117"/>
      <c r="S291" s="118"/>
      <c r="T291" s="118"/>
      <c r="U291" s="118"/>
      <c r="V291" s="118"/>
    </row>
    <row r="292" spans="1:22" s="115" customFormat="1" ht="18" customHeight="1" x14ac:dyDescent="0.2">
      <c r="A292" s="110"/>
      <c r="B292" s="110"/>
      <c r="C292" s="937"/>
      <c r="D292" s="937"/>
      <c r="E292" s="111"/>
      <c r="F292" s="111"/>
      <c r="G292" s="111"/>
      <c r="H292" s="111"/>
      <c r="I292" s="111"/>
      <c r="J292" s="111"/>
      <c r="K292" s="112"/>
      <c r="L292" s="113"/>
      <c r="M292" s="114"/>
      <c r="P292" s="116"/>
      <c r="Q292" s="116"/>
      <c r="R292" s="117"/>
      <c r="S292" s="118"/>
      <c r="T292" s="118"/>
      <c r="U292" s="118"/>
      <c r="V292" s="118"/>
    </row>
    <row r="293" spans="1:22" s="115" customFormat="1" ht="18" customHeight="1" x14ac:dyDescent="0.3">
      <c r="A293" s="1119" t="s">
        <v>1549</v>
      </c>
      <c r="B293" s="1119"/>
      <c r="C293" s="1119"/>
      <c r="D293" s="1119"/>
      <c r="E293" s="1119"/>
      <c r="F293" s="1119"/>
      <c r="G293" s="1119"/>
      <c r="H293" s="1119"/>
      <c r="I293" s="1119"/>
      <c r="J293" s="1119"/>
      <c r="K293" s="1119"/>
      <c r="L293" s="1119"/>
      <c r="M293" s="1119"/>
      <c r="P293" s="116"/>
      <c r="Q293" s="116"/>
      <c r="R293" s="117"/>
      <c r="S293" s="118"/>
      <c r="T293" s="118"/>
      <c r="U293" s="118"/>
      <c r="V293" s="118"/>
    </row>
    <row r="294" spans="1:22" s="115" customFormat="1" ht="18" customHeight="1" x14ac:dyDescent="0.3">
      <c r="A294" s="1120" t="s">
        <v>364</v>
      </c>
      <c r="B294" s="1120"/>
      <c r="C294" s="1120"/>
      <c r="D294" s="1120"/>
      <c r="E294" s="1120"/>
      <c r="F294" s="1120"/>
      <c r="G294" s="1120"/>
      <c r="H294" s="1120"/>
      <c r="I294" s="1120"/>
      <c r="J294" s="1120"/>
      <c r="K294" s="1120"/>
      <c r="L294" s="1120"/>
      <c r="M294" s="1120"/>
      <c r="P294" s="116"/>
      <c r="Q294" s="116"/>
      <c r="R294" s="117"/>
      <c r="S294" s="118"/>
      <c r="T294" s="118"/>
      <c r="U294" s="118"/>
      <c r="V294" s="118"/>
    </row>
    <row r="295" spans="1:22" s="115" customFormat="1" ht="18" customHeight="1" x14ac:dyDescent="0.2">
      <c r="A295" s="1121"/>
      <c r="B295" s="1121"/>
      <c r="C295" s="1121"/>
      <c r="D295" s="1121"/>
      <c r="E295" s="1121"/>
      <c r="F295" s="1121"/>
      <c r="G295" s="1121"/>
      <c r="H295" s="1121"/>
      <c r="I295" s="1121"/>
      <c r="J295" s="1121"/>
      <c r="K295" s="1121"/>
      <c r="L295" s="1121"/>
      <c r="M295" s="1121"/>
      <c r="P295" s="116"/>
      <c r="Q295" s="116"/>
      <c r="R295" s="117"/>
      <c r="S295" s="118"/>
      <c r="T295" s="118"/>
      <c r="U295" s="118"/>
      <c r="V295" s="118"/>
    </row>
    <row r="296" spans="1:22" s="115" customFormat="1" ht="18" customHeight="1" x14ac:dyDescent="0.2">
      <c r="A296" s="930"/>
      <c r="B296" s="930"/>
      <c r="C296" s="930"/>
      <c r="D296" s="930"/>
      <c r="E296" s="930"/>
      <c r="F296" s="930"/>
      <c r="G296" s="930"/>
      <c r="H296" s="930"/>
      <c r="I296" s="930"/>
      <c r="J296" s="930"/>
      <c r="K296" s="930"/>
      <c r="L296" s="930"/>
      <c r="M296" s="930"/>
      <c r="P296" s="116"/>
      <c r="Q296" s="116"/>
      <c r="R296" s="117"/>
      <c r="S296" s="118"/>
      <c r="T296" s="118"/>
      <c r="U296" s="118"/>
      <c r="V296" s="118"/>
    </row>
    <row r="297" spans="1:22" s="115" customFormat="1" ht="18" customHeight="1" x14ac:dyDescent="0.2">
      <c r="A297" s="111" t="s">
        <v>457</v>
      </c>
      <c r="B297" s="111"/>
      <c r="C297" s="111" t="s">
        <v>455</v>
      </c>
      <c r="D297" s="111" t="s">
        <v>467</v>
      </c>
      <c r="E297" s="111"/>
      <c r="F297" s="111"/>
      <c r="G297" s="111"/>
      <c r="H297" s="930"/>
      <c r="I297" s="930"/>
      <c r="J297" s="930"/>
      <c r="K297" s="930"/>
      <c r="L297" s="930"/>
      <c r="M297" s="930"/>
      <c r="P297" s="116"/>
      <c r="Q297" s="116"/>
      <c r="R297" s="117"/>
      <c r="S297" s="118"/>
      <c r="T297" s="118"/>
      <c r="U297" s="118"/>
      <c r="V297" s="118"/>
    </row>
    <row r="298" spans="1:22" s="115" customFormat="1" ht="18" customHeight="1" x14ac:dyDescent="0.25">
      <c r="A298" s="111" t="s">
        <v>465</v>
      </c>
      <c r="B298" s="111"/>
      <c r="C298" s="111" t="s">
        <v>455</v>
      </c>
      <c r="D298" s="111" t="s">
        <v>468</v>
      </c>
      <c r="E298" s="111"/>
      <c r="F298" s="111"/>
      <c r="G298" s="111"/>
      <c r="H298" s="930"/>
      <c r="I298" s="930"/>
      <c r="J298" s="930"/>
      <c r="K298" s="930"/>
      <c r="L298" s="930"/>
      <c r="M298" s="930"/>
      <c r="N298" s="182"/>
      <c r="P298" s="116"/>
      <c r="Q298" s="116"/>
      <c r="R298" s="117"/>
      <c r="S298" s="118"/>
      <c r="T298" s="118"/>
      <c r="U298" s="118"/>
      <c r="V298" s="118"/>
    </row>
    <row r="299" spans="1:22" s="115" customFormat="1" ht="18" customHeight="1" thickBot="1" x14ac:dyDescent="0.3">
      <c r="A299" s="111" t="s">
        <v>466</v>
      </c>
      <c r="B299" s="111"/>
      <c r="C299" s="111" t="s">
        <v>455</v>
      </c>
      <c r="D299" s="111" t="s">
        <v>469</v>
      </c>
      <c r="E299" s="111"/>
      <c r="F299" s="111"/>
      <c r="G299" s="111"/>
      <c r="H299" s="930"/>
      <c r="I299" s="930"/>
      <c r="J299" s="930"/>
      <c r="K299" s="930"/>
      <c r="L299" s="930"/>
      <c r="M299" s="930"/>
      <c r="N299" s="182"/>
      <c r="P299" s="116"/>
      <c r="Q299" s="116"/>
      <c r="R299" s="117"/>
      <c r="S299" s="118"/>
      <c r="T299" s="118"/>
      <c r="U299" s="118"/>
      <c r="V299" s="118"/>
    </row>
    <row r="300" spans="1:22" ht="18" customHeight="1" x14ac:dyDescent="0.25">
      <c r="A300" s="1122" t="s">
        <v>642</v>
      </c>
      <c r="B300" s="1123"/>
      <c r="C300" s="1123"/>
      <c r="D300" s="1123"/>
      <c r="E300" s="1124"/>
      <c r="F300" s="1123"/>
      <c r="G300" s="1125"/>
      <c r="H300" s="121"/>
      <c r="I300" s="1126" t="s">
        <v>646</v>
      </c>
      <c r="J300" s="1127"/>
      <c r="K300" s="1126" t="s">
        <v>646</v>
      </c>
      <c r="L300" s="1127"/>
      <c r="M300" s="122"/>
      <c r="N300" s="182"/>
    </row>
    <row r="301" spans="1:22" ht="18" customHeight="1" x14ac:dyDescent="0.2">
      <c r="A301" s="123" t="s">
        <v>643</v>
      </c>
      <c r="B301" s="1133" t="s">
        <v>644</v>
      </c>
      <c r="C301" s="1134"/>
      <c r="D301" s="1135"/>
      <c r="E301" s="1136" t="s">
        <v>45</v>
      </c>
      <c r="F301" s="1137"/>
      <c r="G301" s="1138"/>
      <c r="H301" s="934" t="s">
        <v>46</v>
      </c>
      <c r="I301" s="1136" t="s">
        <v>1492</v>
      </c>
      <c r="J301" s="1138"/>
      <c r="K301" s="1137" t="s">
        <v>1550</v>
      </c>
      <c r="L301" s="1138"/>
      <c r="M301" s="124" t="s">
        <v>47</v>
      </c>
    </row>
    <row r="302" spans="1:22" ht="18" customHeight="1" x14ac:dyDescent="0.2">
      <c r="A302" s="125"/>
      <c r="B302" s="934"/>
      <c r="C302" s="935"/>
      <c r="D302" s="935"/>
      <c r="E302" s="934"/>
      <c r="F302" s="935"/>
      <c r="G302" s="936"/>
      <c r="H302" s="934" t="s">
        <v>48</v>
      </c>
      <c r="I302" s="1139" t="s">
        <v>1551</v>
      </c>
      <c r="J302" s="1140"/>
      <c r="K302" s="1139"/>
      <c r="L302" s="1140"/>
      <c r="M302" s="124" t="s">
        <v>49</v>
      </c>
    </row>
    <row r="303" spans="1:22" ht="18" customHeight="1" x14ac:dyDescent="0.2">
      <c r="A303" s="125"/>
      <c r="B303" s="934"/>
      <c r="C303" s="935"/>
      <c r="D303" s="935"/>
      <c r="E303" s="934"/>
      <c r="F303" s="935"/>
      <c r="G303" s="126"/>
      <c r="H303" s="127"/>
      <c r="I303" s="128" t="s">
        <v>645</v>
      </c>
      <c r="J303" s="129" t="s">
        <v>50</v>
      </c>
      <c r="K303" s="128" t="s">
        <v>645</v>
      </c>
      <c r="L303" s="129" t="s">
        <v>50</v>
      </c>
      <c r="M303" s="124"/>
    </row>
    <row r="304" spans="1:22" ht="18" customHeight="1" thickBot="1" x14ac:dyDescent="0.25">
      <c r="A304" s="130"/>
      <c r="B304" s="1128"/>
      <c r="C304" s="1129"/>
      <c r="D304" s="1130"/>
      <c r="E304" s="1128"/>
      <c r="F304" s="1129"/>
      <c r="G304" s="1130"/>
      <c r="H304" s="131"/>
      <c r="I304" s="131"/>
      <c r="J304" s="131"/>
      <c r="K304" s="131"/>
      <c r="L304" s="131"/>
      <c r="M304" s="132"/>
    </row>
    <row r="305" spans="1:18" ht="18" customHeight="1" x14ac:dyDescent="0.2">
      <c r="A305" s="183"/>
      <c r="B305" s="119"/>
      <c r="C305" s="119"/>
      <c r="D305" s="119"/>
      <c r="E305" s="133"/>
      <c r="F305" s="119"/>
      <c r="G305" s="134"/>
      <c r="H305" s="135"/>
      <c r="I305" s="184"/>
      <c r="J305" s="137"/>
      <c r="K305" s="184"/>
      <c r="L305" s="137"/>
      <c r="M305" s="137"/>
    </row>
    <row r="306" spans="1:18" s="148" customFormat="1" ht="18" customHeight="1" x14ac:dyDescent="0.25">
      <c r="A306" s="185">
        <v>1</v>
      </c>
      <c r="B306" s="140"/>
      <c r="C306" s="140"/>
      <c r="D306" s="140"/>
      <c r="E306" s="156" t="s">
        <v>80</v>
      </c>
      <c r="F306" s="140"/>
      <c r="G306" s="142"/>
      <c r="H306" s="143" t="s">
        <v>24</v>
      </c>
      <c r="I306" s="187" t="s">
        <v>81</v>
      </c>
      <c r="J306" s="145">
        <f>80991*12</f>
        <v>971892</v>
      </c>
      <c r="K306" s="187" t="s">
        <v>81</v>
      </c>
      <c r="L306" s="145">
        <v>990948</v>
      </c>
      <c r="M306" s="146">
        <f>L306-J306</f>
        <v>19056</v>
      </c>
      <c r="N306" s="115">
        <f>L306-J306</f>
        <v>19056</v>
      </c>
      <c r="O306" s="115">
        <f>N306-M306</f>
        <v>0</v>
      </c>
      <c r="P306" s="116">
        <v>69142</v>
      </c>
      <c r="Q306" s="116">
        <f>P306*12</f>
        <v>829704</v>
      </c>
      <c r="R306" s="147">
        <f>Q306-L306</f>
        <v>-161244</v>
      </c>
    </row>
    <row r="307" spans="1:18" s="148" customFormat="1" ht="18" customHeight="1" x14ac:dyDescent="0.25">
      <c r="A307" s="185"/>
      <c r="B307" s="140"/>
      <c r="C307" s="140"/>
      <c r="D307" s="140"/>
      <c r="E307" s="156" t="s">
        <v>918</v>
      </c>
      <c r="F307" s="140"/>
      <c r="G307" s="142"/>
      <c r="H307" s="143"/>
      <c r="I307" s="187"/>
      <c r="J307" s="145"/>
      <c r="K307" s="187"/>
      <c r="L307" s="145"/>
      <c r="M307" s="145"/>
      <c r="N307" s="115"/>
      <c r="O307" s="115"/>
      <c r="P307" s="116"/>
      <c r="Q307" s="116"/>
      <c r="R307" s="117"/>
    </row>
    <row r="308" spans="1:18" s="148" customFormat="1" ht="18" customHeight="1" x14ac:dyDescent="0.25">
      <c r="A308" s="185"/>
      <c r="B308" s="140"/>
      <c r="C308" s="140"/>
      <c r="D308" s="140"/>
      <c r="E308" s="156"/>
      <c r="F308" s="140"/>
      <c r="G308" s="142"/>
      <c r="H308" s="143"/>
      <c r="I308" s="187"/>
      <c r="J308" s="145"/>
      <c r="K308" s="187"/>
      <c r="L308" s="145"/>
      <c r="M308" s="145"/>
      <c r="N308" s="115"/>
      <c r="O308" s="115"/>
      <c r="P308" s="116"/>
      <c r="Q308" s="116"/>
      <c r="R308" s="117"/>
    </row>
    <row r="309" spans="1:18" s="148" customFormat="1" ht="18" customHeight="1" x14ac:dyDescent="0.25">
      <c r="A309" s="185"/>
      <c r="B309" s="140"/>
      <c r="C309" s="140"/>
      <c r="D309" s="140"/>
      <c r="E309" s="156"/>
      <c r="F309" s="140"/>
      <c r="G309" s="142"/>
      <c r="H309" s="143"/>
      <c r="I309" s="188"/>
      <c r="J309" s="151"/>
      <c r="K309" s="188"/>
      <c r="L309" s="151"/>
      <c r="M309" s="145"/>
      <c r="N309" s="115"/>
      <c r="O309" s="115"/>
      <c r="P309" s="116"/>
      <c r="Q309" s="116"/>
      <c r="R309" s="117"/>
    </row>
    <row r="310" spans="1:18" s="148" customFormat="1" ht="18" customHeight="1" x14ac:dyDescent="0.25">
      <c r="A310" s="185">
        <v>2</v>
      </c>
      <c r="B310" s="140"/>
      <c r="C310" s="140"/>
      <c r="D310" s="140"/>
      <c r="E310" s="156" t="s">
        <v>85</v>
      </c>
      <c r="F310" s="140"/>
      <c r="G310" s="142"/>
      <c r="H310" s="143" t="s">
        <v>89</v>
      </c>
      <c r="I310" s="187" t="s">
        <v>397</v>
      </c>
      <c r="J310" s="145">
        <f>15014*12</f>
        <v>180168</v>
      </c>
      <c r="K310" s="187" t="s">
        <v>397</v>
      </c>
      <c r="L310" s="145">
        <v>187848</v>
      </c>
      <c r="M310" s="146">
        <f>L310-J310</f>
        <v>7680</v>
      </c>
      <c r="N310" s="115">
        <f>L310-J310</f>
        <v>7680</v>
      </c>
      <c r="O310" s="115">
        <f>N310-M310</f>
        <v>0</v>
      </c>
      <c r="P310" s="116">
        <v>13840</v>
      </c>
      <c r="Q310" s="116">
        <f>P310*12</f>
        <v>166080</v>
      </c>
      <c r="R310" s="147">
        <f>Q310-L310</f>
        <v>-21768</v>
      </c>
    </row>
    <row r="311" spans="1:18" s="148" customFormat="1" ht="18" customHeight="1" x14ac:dyDescent="0.25">
      <c r="A311" s="185"/>
      <c r="B311" s="140"/>
      <c r="C311" s="140"/>
      <c r="D311" s="140"/>
      <c r="E311" s="156" t="s">
        <v>87</v>
      </c>
      <c r="F311" s="140"/>
      <c r="G311" s="142"/>
      <c r="H311" s="143"/>
      <c r="I311" s="187"/>
      <c r="J311" s="145"/>
      <c r="K311" s="187"/>
      <c r="L311" s="145"/>
      <c r="M311" s="146"/>
      <c r="N311" s="115"/>
      <c r="O311" s="115"/>
      <c r="P311" s="116"/>
      <c r="Q311" s="116"/>
      <c r="R311" s="117"/>
    </row>
    <row r="312" spans="1:18" s="148" customFormat="1" ht="18" customHeight="1" x14ac:dyDescent="0.25">
      <c r="A312" s="185"/>
      <c r="B312" s="140"/>
      <c r="C312" s="140"/>
      <c r="D312" s="140"/>
      <c r="E312" s="156"/>
      <c r="F312" s="140"/>
      <c r="G312" s="142"/>
      <c r="H312" s="143"/>
      <c r="I312" s="188"/>
      <c r="J312" s="151"/>
      <c r="K312" s="188"/>
      <c r="L312" s="151"/>
      <c r="M312" s="145"/>
      <c r="N312" s="115"/>
      <c r="O312" s="115"/>
      <c r="P312" s="116"/>
      <c r="Q312" s="116"/>
      <c r="R312" s="117"/>
    </row>
    <row r="313" spans="1:18" s="148" customFormat="1" ht="18" customHeight="1" x14ac:dyDescent="0.25">
      <c r="A313" s="185">
        <v>3</v>
      </c>
      <c r="B313" s="140"/>
      <c r="C313" s="140"/>
      <c r="D313" s="140"/>
      <c r="E313" s="156" t="s">
        <v>88</v>
      </c>
      <c r="F313" s="140"/>
      <c r="G313" s="142"/>
      <c r="H313" s="143" t="s">
        <v>291</v>
      </c>
      <c r="I313" s="187" t="s">
        <v>112</v>
      </c>
      <c r="J313" s="145">
        <f>11827*12</f>
        <v>141924</v>
      </c>
      <c r="K313" s="187" t="s">
        <v>112</v>
      </c>
      <c r="L313" s="145">
        <v>148008</v>
      </c>
      <c r="M313" s="146">
        <f>L313-J313</f>
        <v>6084</v>
      </c>
      <c r="N313" s="115">
        <f>L313-J313</f>
        <v>6084</v>
      </c>
      <c r="O313" s="115">
        <f>N313-M313</f>
        <v>0</v>
      </c>
      <c r="P313" s="116">
        <v>10773</v>
      </c>
      <c r="Q313" s="116">
        <f>P313*12</f>
        <v>129276</v>
      </c>
      <c r="R313" s="147">
        <f>Q313-L313</f>
        <v>-18732</v>
      </c>
    </row>
    <row r="314" spans="1:18" s="148" customFormat="1" ht="18" customHeight="1" x14ac:dyDescent="0.25">
      <c r="A314" s="185"/>
      <c r="B314" s="140"/>
      <c r="C314" s="140"/>
      <c r="D314" s="140"/>
      <c r="E314" s="139"/>
      <c r="F314" s="140"/>
      <c r="G314" s="142"/>
      <c r="H314" s="143"/>
      <c r="I314" s="188"/>
      <c r="J314" s="151"/>
      <c r="K314" s="188"/>
      <c r="L314" s="151"/>
      <c r="M314" s="145"/>
      <c r="N314" s="115"/>
      <c r="O314" s="115"/>
      <c r="P314" s="116"/>
      <c r="Q314" s="116"/>
      <c r="R314" s="117"/>
    </row>
    <row r="315" spans="1:18" s="148" customFormat="1" ht="18" customHeight="1" x14ac:dyDescent="0.25">
      <c r="A315" s="185"/>
      <c r="B315" s="140"/>
      <c r="C315" s="140"/>
      <c r="D315" s="140"/>
      <c r="E315" s="139"/>
      <c r="F315" s="140"/>
      <c r="G315" s="142"/>
      <c r="H315" s="143"/>
      <c r="I315" s="188"/>
      <c r="J315" s="145"/>
      <c r="K315" s="188"/>
      <c r="L315" s="145"/>
      <c r="M315" s="145"/>
      <c r="N315" s="115"/>
      <c r="O315" s="115"/>
      <c r="P315" s="116"/>
      <c r="Q315" s="116"/>
      <c r="R315" s="117"/>
    </row>
    <row r="316" spans="1:18" s="148" customFormat="1" ht="18" customHeight="1" x14ac:dyDescent="0.25">
      <c r="A316" s="185"/>
      <c r="B316" s="140"/>
      <c r="C316" s="140"/>
      <c r="D316" s="140"/>
      <c r="E316" s="139"/>
      <c r="F316" s="140"/>
      <c r="G316" s="142"/>
      <c r="H316" s="143"/>
      <c r="I316" s="144"/>
      <c r="J316" s="145"/>
      <c r="K316" s="144"/>
      <c r="L316" s="145"/>
      <c r="M316" s="145"/>
      <c r="N316" s="115"/>
      <c r="O316" s="115"/>
      <c r="P316" s="116"/>
      <c r="Q316" s="116"/>
      <c r="R316" s="117"/>
    </row>
    <row r="317" spans="1:18" s="148" customFormat="1" ht="18" customHeight="1" x14ac:dyDescent="0.25">
      <c r="A317" s="185"/>
      <c r="B317" s="140"/>
      <c r="C317" s="140"/>
      <c r="D317" s="140"/>
      <c r="E317" s="139"/>
      <c r="F317" s="140"/>
      <c r="G317" s="142"/>
      <c r="H317" s="143"/>
      <c r="I317" s="144"/>
      <c r="J317" s="145"/>
      <c r="K317" s="144"/>
      <c r="L317" s="145"/>
      <c r="M317" s="145"/>
      <c r="N317" s="115"/>
      <c r="O317" s="115"/>
      <c r="P317" s="116"/>
      <c r="Q317" s="116"/>
      <c r="R317" s="117"/>
    </row>
    <row r="318" spans="1:18" s="148" customFormat="1" ht="18" customHeight="1" x14ac:dyDescent="0.25">
      <c r="A318" s="185"/>
      <c r="B318" s="140"/>
      <c r="C318" s="140"/>
      <c r="D318" s="140"/>
      <c r="E318" s="139"/>
      <c r="F318" s="140"/>
      <c r="G318" s="142"/>
      <c r="H318" s="143"/>
      <c r="I318" s="144"/>
      <c r="J318" s="145"/>
      <c r="K318" s="144"/>
      <c r="L318" s="145"/>
      <c r="M318" s="145"/>
      <c r="N318" s="115"/>
      <c r="O318" s="115"/>
      <c r="P318" s="116"/>
      <c r="Q318" s="116"/>
      <c r="R318" s="117"/>
    </row>
    <row r="319" spans="1:18" s="148" customFormat="1" ht="18" customHeight="1" x14ac:dyDescent="0.25">
      <c r="A319" s="185"/>
      <c r="B319" s="140"/>
      <c r="C319" s="140"/>
      <c r="D319" s="140"/>
      <c r="E319" s="139"/>
      <c r="F319" s="140"/>
      <c r="G319" s="142"/>
      <c r="H319" s="143"/>
      <c r="I319" s="144"/>
      <c r="J319" s="145"/>
      <c r="K319" s="144"/>
      <c r="L319" s="145"/>
      <c r="M319" s="145"/>
      <c r="N319" s="115"/>
      <c r="O319" s="115"/>
      <c r="P319" s="116"/>
      <c r="Q319" s="116"/>
      <c r="R319" s="117"/>
    </row>
    <row r="320" spans="1:18" s="148" customFormat="1" ht="18" customHeight="1" x14ac:dyDescent="0.25">
      <c r="A320" s="185"/>
      <c r="B320" s="140"/>
      <c r="C320" s="140"/>
      <c r="D320" s="140"/>
      <c r="E320" s="139"/>
      <c r="F320" s="140"/>
      <c r="G320" s="142"/>
      <c r="H320" s="143"/>
      <c r="I320" s="144"/>
      <c r="J320" s="145"/>
      <c r="K320" s="144"/>
      <c r="L320" s="145"/>
      <c r="M320" s="145"/>
      <c r="N320" s="115"/>
      <c r="O320" s="115"/>
      <c r="P320" s="116"/>
      <c r="Q320" s="116"/>
      <c r="R320" s="117"/>
    </row>
    <row r="321" spans="1:18" s="148" customFormat="1" ht="18" customHeight="1" x14ac:dyDescent="0.25">
      <c r="A321" s="185"/>
      <c r="B321" s="140"/>
      <c r="C321" s="140"/>
      <c r="D321" s="140"/>
      <c r="E321" s="139"/>
      <c r="F321" s="140"/>
      <c r="G321" s="142"/>
      <c r="H321" s="143"/>
      <c r="I321" s="144"/>
      <c r="J321" s="145"/>
      <c r="K321" s="144"/>
      <c r="L321" s="145"/>
      <c r="M321" s="145"/>
      <c r="N321" s="115"/>
      <c r="O321" s="115"/>
      <c r="P321" s="116"/>
      <c r="Q321" s="116"/>
      <c r="R321" s="117"/>
    </row>
    <row r="322" spans="1:18" s="148" customFormat="1" ht="18" customHeight="1" x14ac:dyDescent="0.25">
      <c r="A322" s="185"/>
      <c r="B322" s="140"/>
      <c r="C322" s="140"/>
      <c r="D322" s="140"/>
      <c r="E322" s="139"/>
      <c r="F322" s="140"/>
      <c r="G322" s="142"/>
      <c r="H322" s="143"/>
      <c r="I322" s="144"/>
      <c r="J322" s="145"/>
      <c r="K322" s="144"/>
      <c r="L322" s="145"/>
      <c r="M322" s="145"/>
      <c r="N322" s="115"/>
      <c r="O322" s="115"/>
      <c r="P322" s="116"/>
      <c r="Q322" s="116"/>
      <c r="R322" s="117"/>
    </row>
    <row r="323" spans="1:18" s="148" customFormat="1" ht="18" customHeight="1" x14ac:dyDescent="0.25">
      <c r="A323" s="185"/>
      <c r="B323" s="140"/>
      <c r="C323" s="140"/>
      <c r="D323" s="140"/>
      <c r="E323" s="139"/>
      <c r="F323" s="140"/>
      <c r="G323" s="142"/>
      <c r="H323" s="143"/>
      <c r="I323" s="144"/>
      <c r="J323" s="145"/>
      <c r="K323" s="144"/>
      <c r="L323" s="145"/>
      <c r="M323" s="145"/>
      <c r="N323" s="115"/>
      <c r="O323" s="115"/>
      <c r="P323" s="116"/>
      <c r="Q323" s="116"/>
      <c r="R323" s="117"/>
    </row>
    <row r="324" spans="1:18" s="148" customFormat="1" ht="18" customHeight="1" x14ac:dyDescent="0.25">
      <c r="A324" s="185"/>
      <c r="B324" s="140"/>
      <c r="C324" s="140"/>
      <c r="D324" s="140"/>
      <c r="E324" s="139"/>
      <c r="F324" s="140"/>
      <c r="G324" s="142"/>
      <c r="H324" s="143"/>
      <c r="I324" s="144"/>
      <c r="J324" s="145"/>
      <c r="K324" s="144"/>
      <c r="L324" s="145"/>
      <c r="M324" s="145"/>
      <c r="N324" s="115"/>
      <c r="O324" s="115"/>
      <c r="P324" s="116"/>
      <c r="Q324" s="116"/>
      <c r="R324" s="117"/>
    </row>
    <row r="325" spans="1:18" s="148" customFormat="1" ht="18" customHeight="1" x14ac:dyDescent="0.25">
      <c r="A325" s="185"/>
      <c r="B325" s="140"/>
      <c r="C325" s="140"/>
      <c r="D325" s="140"/>
      <c r="E325" s="139"/>
      <c r="F325" s="140"/>
      <c r="G325" s="142"/>
      <c r="H325" s="143"/>
      <c r="I325" s="144"/>
      <c r="J325" s="145"/>
      <c r="K325" s="144"/>
      <c r="L325" s="145"/>
      <c r="M325" s="145"/>
      <c r="N325" s="115"/>
      <c r="O325" s="115"/>
      <c r="P325" s="116"/>
      <c r="Q325" s="116"/>
      <c r="R325" s="117"/>
    </row>
    <row r="326" spans="1:18" s="148" customFormat="1" ht="18" customHeight="1" x14ac:dyDescent="0.25">
      <c r="A326" s="185"/>
      <c r="B326" s="140"/>
      <c r="C326" s="140"/>
      <c r="D326" s="140"/>
      <c r="E326" s="139"/>
      <c r="F326" s="140"/>
      <c r="G326" s="142"/>
      <c r="H326" s="143"/>
      <c r="I326" s="144"/>
      <c r="J326" s="145"/>
      <c r="K326" s="144"/>
      <c r="L326" s="145"/>
      <c r="M326" s="145"/>
      <c r="N326" s="115"/>
      <c r="O326" s="115"/>
      <c r="P326" s="116"/>
      <c r="Q326" s="116"/>
      <c r="R326" s="117"/>
    </row>
    <row r="327" spans="1:18" s="148" customFormat="1" ht="18" customHeight="1" x14ac:dyDescent="0.25">
      <c r="A327" s="185"/>
      <c r="B327" s="140"/>
      <c r="C327" s="140"/>
      <c r="D327" s="140"/>
      <c r="E327" s="139"/>
      <c r="F327" s="140"/>
      <c r="G327" s="142"/>
      <c r="H327" s="143"/>
      <c r="I327" s="144"/>
      <c r="J327" s="145"/>
      <c r="K327" s="144"/>
      <c r="L327" s="145"/>
      <c r="M327" s="145"/>
      <c r="N327" s="115"/>
      <c r="O327" s="115"/>
      <c r="P327" s="116"/>
      <c r="Q327" s="116"/>
      <c r="R327" s="117"/>
    </row>
    <row r="328" spans="1:18" s="148" customFormat="1" ht="18" customHeight="1" x14ac:dyDescent="0.25">
      <c r="A328" s="185"/>
      <c r="B328" s="140"/>
      <c r="C328" s="140"/>
      <c r="D328" s="140"/>
      <c r="E328" s="139"/>
      <c r="F328" s="140"/>
      <c r="G328" s="142"/>
      <c r="H328" s="143"/>
      <c r="I328" s="144"/>
      <c r="J328" s="145"/>
      <c r="K328" s="144"/>
      <c r="L328" s="145"/>
      <c r="M328" s="145"/>
      <c r="N328" s="115"/>
      <c r="O328" s="115"/>
      <c r="P328" s="116"/>
      <c r="Q328" s="116"/>
      <c r="R328" s="117"/>
    </row>
    <row r="329" spans="1:18" s="148" customFormat="1" ht="18" customHeight="1" x14ac:dyDescent="0.25">
      <c r="A329" s="185"/>
      <c r="B329" s="140"/>
      <c r="C329" s="140"/>
      <c r="D329" s="140"/>
      <c r="E329" s="139"/>
      <c r="F329" s="140"/>
      <c r="G329" s="142"/>
      <c r="H329" s="143"/>
      <c r="I329" s="144"/>
      <c r="J329" s="145"/>
      <c r="K329" s="144"/>
      <c r="L329" s="145"/>
      <c r="M329" s="145"/>
      <c r="N329" s="115"/>
      <c r="O329" s="115"/>
      <c r="P329" s="116"/>
      <c r="Q329" s="116"/>
      <c r="R329" s="117"/>
    </row>
    <row r="330" spans="1:18" s="148" customFormat="1" ht="18" customHeight="1" x14ac:dyDescent="0.25">
      <c r="A330" s="185"/>
      <c r="B330" s="140"/>
      <c r="C330" s="140"/>
      <c r="D330" s="140"/>
      <c r="E330" s="139"/>
      <c r="F330" s="140"/>
      <c r="G330" s="142"/>
      <c r="H330" s="143"/>
      <c r="I330" s="144"/>
      <c r="J330" s="145"/>
      <c r="K330" s="144"/>
      <c r="L330" s="145"/>
      <c r="M330" s="145"/>
      <c r="N330" s="115"/>
      <c r="O330" s="115"/>
      <c r="P330" s="116"/>
      <c r="Q330" s="116"/>
      <c r="R330" s="117"/>
    </row>
    <row r="331" spans="1:18" s="148" customFormat="1" ht="18" customHeight="1" x14ac:dyDescent="0.25">
      <c r="A331" s="143"/>
      <c r="B331" s="157"/>
      <c r="C331" s="140"/>
      <c r="D331" s="140"/>
      <c r="E331" s="156"/>
      <c r="F331" s="157"/>
      <c r="G331" s="142"/>
      <c r="H331" s="143"/>
      <c r="I331" s="144"/>
      <c r="J331" s="145"/>
      <c r="K331" s="144"/>
      <c r="L331" s="145"/>
      <c r="M331" s="145"/>
      <c r="N331" s="115"/>
      <c r="O331" s="115"/>
      <c r="P331" s="116"/>
      <c r="Q331" s="116"/>
      <c r="R331" s="117"/>
    </row>
    <row r="332" spans="1:18" s="148" customFormat="1" ht="18" customHeight="1" x14ac:dyDescent="0.25">
      <c r="A332" s="143"/>
      <c r="B332" s="157"/>
      <c r="C332" s="140"/>
      <c r="D332" s="140"/>
      <c r="E332" s="156"/>
      <c r="F332" s="157"/>
      <c r="G332" s="142"/>
      <c r="H332" s="143"/>
      <c r="I332" s="144"/>
      <c r="J332" s="145"/>
      <c r="K332" s="144"/>
      <c r="L332" s="145"/>
      <c r="M332" s="145"/>
      <c r="N332" s="115"/>
      <c r="O332" s="115"/>
      <c r="P332" s="116"/>
      <c r="Q332" s="116"/>
      <c r="R332" s="117"/>
    </row>
    <row r="333" spans="1:18" s="148" customFormat="1" ht="18" customHeight="1" x14ac:dyDescent="0.25">
      <c r="A333" s="143"/>
      <c r="B333" s="157"/>
      <c r="C333" s="140"/>
      <c r="D333" s="140"/>
      <c r="E333" s="156"/>
      <c r="F333" s="157"/>
      <c r="G333" s="142"/>
      <c r="H333" s="143"/>
      <c r="I333" s="144"/>
      <c r="J333" s="145"/>
      <c r="K333" s="144"/>
      <c r="L333" s="145"/>
      <c r="M333" s="145"/>
      <c r="N333" s="115"/>
      <c r="O333" s="115"/>
      <c r="P333" s="116"/>
      <c r="Q333" s="116"/>
      <c r="R333" s="117"/>
    </row>
    <row r="334" spans="1:18" s="148" customFormat="1" ht="18" customHeight="1" x14ac:dyDescent="0.25">
      <c r="A334" s="143"/>
      <c r="B334" s="157"/>
      <c r="C334" s="140"/>
      <c r="D334" s="140"/>
      <c r="E334" s="156"/>
      <c r="F334" s="157"/>
      <c r="G334" s="142"/>
      <c r="H334" s="143"/>
      <c r="I334" s="144"/>
      <c r="J334" s="145"/>
      <c r="K334" s="144"/>
      <c r="L334" s="145"/>
      <c r="M334" s="145"/>
      <c r="N334" s="115"/>
      <c r="O334" s="115"/>
      <c r="P334" s="116"/>
      <c r="Q334" s="116"/>
      <c r="R334" s="117"/>
    </row>
    <row r="335" spans="1:18" s="148" customFormat="1" ht="18" customHeight="1" x14ac:dyDescent="0.25">
      <c r="A335" s="143"/>
      <c r="B335" s="157"/>
      <c r="C335" s="140"/>
      <c r="D335" s="140"/>
      <c r="E335" s="156"/>
      <c r="F335" s="157"/>
      <c r="G335" s="142"/>
      <c r="H335" s="143"/>
      <c r="I335" s="144"/>
      <c r="J335" s="145"/>
      <c r="K335" s="144"/>
      <c r="L335" s="145"/>
      <c r="M335" s="145"/>
      <c r="N335" s="115"/>
      <c r="O335" s="115"/>
      <c r="P335" s="116"/>
      <c r="Q335" s="116"/>
      <c r="R335" s="117"/>
    </row>
    <row r="336" spans="1:18" s="148" customFormat="1" ht="18" customHeight="1" x14ac:dyDescent="0.25">
      <c r="A336" s="143"/>
      <c r="B336" s="157"/>
      <c r="C336" s="140"/>
      <c r="D336" s="140"/>
      <c r="E336" s="156"/>
      <c r="F336" s="157"/>
      <c r="G336" s="142"/>
      <c r="H336" s="143"/>
      <c r="I336" s="213"/>
      <c r="J336" s="145"/>
      <c r="K336" s="213"/>
      <c r="L336" s="145"/>
      <c r="M336" s="145"/>
      <c r="N336" s="115"/>
      <c r="O336" s="115"/>
      <c r="P336" s="116"/>
      <c r="Q336" s="116"/>
      <c r="R336" s="117"/>
    </row>
    <row r="337" spans="1:18" s="148" customFormat="1" ht="18" customHeight="1" x14ac:dyDescent="0.25">
      <c r="A337" s="143"/>
      <c r="B337" s="157"/>
      <c r="C337" s="140"/>
      <c r="D337" s="140"/>
      <c r="E337" s="156"/>
      <c r="F337" s="157"/>
      <c r="G337" s="142"/>
      <c r="H337" s="143"/>
      <c r="I337" s="213"/>
      <c r="J337" s="145"/>
      <c r="K337" s="213"/>
      <c r="L337" s="145"/>
      <c r="M337" s="145"/>
      <c r="N337" s="115"/>
      <c r="O337" s="115"/>
      <c r="P337" s="116"/>
      <c r="Q337" s="116"/>
      <c r="R337" s="117"/>
    </row>
    <row r="338" spans="1:18" s="148" customFormat="1" ht="18" customHeight="1" x14ac:dyDescent="0.25">
      <c r="A338" s="143"/>
      <c r="B338" s="157"/>
      <c r="C338" s="140"/>
      <c r="D338" s="140"/>
      <c r="E338" s="156"/>
      <c r="F338" s="157"/>
      <c r="G338" s="142"/>
      <c r="H338" s="143"/>
      <c r="I338" s="213"/>
      <c r="J338" s="145"/>
      <c r="K338" s="213"/>
      <c r="L338" s="145"/>
      <c r="M338" s="145"/>
      <c r="N338" s="115"/>
      <c r="O338" s="115"/>
      <c r="P338" s="116"/>
      <c r="Q338" s="116"/>
      <c r="R338" s="117"/>
    </row>
    <row r="339" spans="1:18" s="148" customFormat="1" ht="18" customHeight="1" x14ac:dyDescent="0.25">
      <c r="A339" s="143"/>
      <c r="B339" s="157"/>
      <c r="C339" s="140"/>
      <c r="D339" s="140"/>
      <c r="E339" s="156"/>
      <c r="F339" s="157"/>
      <c r="G339" s="142"/>
      <c r="H339" s="143"/>
      <c r="I339" s="213"/>
      <c r="J339" s="145"/>
      <c r="K339" s="213"/>
      <c r="L339" s="145"/>
      <c r="M339" s="145"/>
      <c r="N339" s="115"/>
      <c r="O339" s="115"/>
      <c r="P339" s="116"/>
      <c r="Q339" s="116"/>
      <c r="R339" s="117"/>
    </row>
    <row r="340" spans="1:18" s="148" customFormat="1" ht="18" customHeight="1" x14ac:dyDescent="0.25">
      <c r="A340" s="143"/>
      <c r="B340" s="157"/>
      <c r="C340" s="140"/>
      <c r="D340" s="140"/>
      <c r="E340" s="156"/>
      <c r="F340" s="157"/>
      <c r="G340" s="142"/>
      <c r="H340" s="143"/>
      <c r="I340" s="213"/>
      <c r="J340" s="145"/>
      <c r="K340" s="213"/>
      <c r="L340" s="145"/>
      <c r="M340" s="145"/>
      <c r="N340" s="115"/>
      <c r="O340" s="115"/>
      <c r="P340" s="116"/>
      <c r="Q340" s="116"/>
      <c r="R340" s="117"/>
    </row>
    <row r="341" spans="1:18" s="148" customFormat="1" ht="18" customHeight="1" x14ac:dyDescent="0.25">
      <c r="A341" s="143"/>
      <c r="B341" s="157"/>
      <c r="C341" s="140"/>
      <c r="D341" s="140"/>
      <c r="E341" s="156"/>
      <c r="F341" s="157"/>
      <c r="G341" s="142"/>
      <c r="H341" s="143"/>
      <c r="I341" s="213"/>
      <c r="J341" s="145"/>
      <c r="K341" s="213"/>
      <c r="L341" s="145"/>
      <c r="M341" s="218"/>
      <c r="N341" s="115"/>
      <c r="O341" s="115"/>
      <c r="P341" s="116"/>
      <c r="Q341" s="116"/>
      <c r="R341" s="117"/>
    </row>
    <row r="342" spans="1:18" s="148" customFormat="1" ht="18" customHeight="1" x14ac:dyDescent="0.25">
      <c r="A342" s="143"/>
      <c r="B342" s="157"/>
      <c r="C342" s="140"/>
      <c r="D342" s="140"/>
      <c r="E342" s="156"/>
      <c r="F342" s="157"/>
      <c r="G342" s="142"/>
      <c r="H342" s="143"/>
      <c r="I342" s="213"/>
      <c r="J342" s="145"/>
      <c r="K342" s="213"/>
      <c r="L342" s="145"/>
      <c r="M342" s="145"/>
      <c r="N342" s="115"/>
      <c r="O342" s="115"/>
      <c r="P342" s="116"/>
      <c r="Q342" s="116"/>
      <c r="R342" s="117"/>
    </row>
    <row r="343" spans="1:18" s="148" customFormat="1" ht="18" customHeight="1" x14ac:dyDescent="0.25">
      <c r="A343" s="143"/>
      <c r="B343" s="157"/>
      <c r="C343" s="140"/>
      <c r="D343" s="140"/>
      <c r="E343" s="156"/>
      <c r="F343" s="157"/>
      <c r="G343" s="142"/>
      <c r="H343" s="143"/>
      <c r="I343" s="213"/>
      <c r="J343" s="145"/>
      <c r="K343" s="213"/>
      <c r="L343" s="145"/>
      <c r="M343" s="145"/>
      <c r="N343" s="115"/>
      <c r="O343" s="115"/>
      <c r="P343" s="116"/>
      <c r="Q343" s="116"/>
      <c r="R343" s="117"/>
    </row>
    <row r="344" spans="1:18" s="148" customFormat="1" ht="18" customHeight="1" x14ac:dyDescent="0.25">
      <c r="A344" s="143"/>
      <c r="B344" s="157"/>
      <c r="C344" s="140"/>
      <c r="D344" s="140"/>
      <c r="E344" s="156"/>
      <c r="F344" s="157"/>
      <c r="G344" s="142"/>
      <c r="H344" s="143"/>
      <c r="I344" s="213"/>
      <c r="J344" s="145"/>
      <c r="K344" s="213"/>
      <c r="L344" s="145"/>
      <c r="M344" s="145"/>
      <c r="N344" s="115"/>
      <c r="O344" s="115"/>
      <c r="P344" s="116"/>
      <c r="Q344" s="116"/>
      <c r="R344" s="117"/>
    </row>
    <row r="345" spans="1:18" s="170" customFormat="1" ht="18" customHeight="1" thickBot="1" x14ac:dyDescent="0.3">
      <c r="A345" s="164"/>
      <c r="B345" s="161"/>
      <c r="C345" s="160"/>
      <c r="D345" s="160"/>
      <c r="E345" s="159"/>
      <c r="F345" s="161"/>
      <c r="G345" s="162"/>
      <c r="H345" s="163" t="s">
        <v>15</v>
      </c>
      <c r="I345" s="217"/>
      <c r="J345" s="165">
        <f>SUM(J306:J344)</f>
        <v>1293984</v>
      </c>
      <c r="K345" s="217"/>
      <c r="L345" s="165">
        <f>SUM(L306:L344)</f>
        <v>1326804</v>
      </c>
      <c r="M345" s="165">
        <f>SUM(M306:M344)</f>
        <v>32820</v>
      </c>
      <c r="N345" s="167"/>
      <c r="O345" s="167"/>
      <c r="P345" s="168"/>
      <c r="Q345" s="168"/>
      <c r="R345" s="169"/>
    </row>
    <row r="346" spans="1:18" s="148" customFormat="1" ht="18" customHeight="1" thickTop="1" x14ac:dyDescent="0.25">
      <c r="A346" s="157"/>
      <c r="B346" s="157"/>
      <c r="C346" s="140"/>
      <c r="D346" s="140"/>
      <c r="E346" s="157"/>
      <c r="F346" s="157"/>
      <c r="G346" s="157"/>
      <c r="H346" s="157"/>
      <c r="I346" s="157"/>
      <c r="J346" s="171"/>
      <c r="K346" s="174"/>
      <c r="L346" s="172"/>
      <c r="M346" s="173"/>
      <c r="N346" s="115"/>
      <c r="O346" s="115"/>
      <c r="P346" s="116"/>
      <c r="Q346" s="116"/>
      <c r="R346" s="117"/>
    </row>
    <row r="347" spans="1:18" s="148" customFormat="1" ht="18" customHeight="1" x14ac:dyDescent="0.25">
      <c r="A347" s="157"/>
      <c r="B347" s="157"/>
      <c r="C347" s="140"/>
      <c r="D347" s="140"/>
      <c r="E347" s="157"/>
      <c r="F347" s="157"/>
      <c r="G347" s="157"/>
      <c r="H347" s="157"/>
      <c r="I347" s="157"/>
      <c r="J347" s="157"/>
      <c r="K347" s="174"/>
      <c r="L347" s="172"/>
      <c r="M347" s="172"/>
      <c r="N347" s="115"/>
      <c r="O347" s="115"/>
      <c r="P347" s="116"/>
      <c r="Q347" s="116"/>
      <c r="R347" s="117"/>
    </row>
    <row r="348" spans="1:18" s="148" customFormat="1" ht="18" customHeight="1" x14ac:dyDescent="0.25">
      <c r="A348" s="157"/>
      <c r="B348" s="157"/>
      <c r="C348" s="140"/>
      <c r="D348" s="140"/>
      <c r="E348" s="157"/>
      <c r="F348" s="157"/>
      <c r="G348" s="157"/>
      <c r="H348" s="157"/>
      <c r="I348" s="157"/>
      <c r="J348" s="157"/>
      <c r="K348" s="174"/>
      <c r="L348" s="172"/>
      <c r="M348" s="172"/>
      <c r="N348" s="115"/>
      <c r="O348" s="115"/>
      <c r="P348" s="116"/>
      <c r="Q348" s="116"/>
      <c r="R348" s="117"/>
    </row>
    <row r="349" spans="1:18" s="148" customFormat="1" ht="18" customHeight="1" x14ac:dyDescent="0.25">
      <c r="A349" s="175" t="s">
        <v>636</v>
      </c>
      <c r="B349" s="175"/>
      <c r="C349" s="932"/>
      <c r="D349" s="932"/>
      <c r="E349" s="176"/>
      <c r="F349" s="176"/>
      <c r="G349" s="176"/>
      <c r="H349" s="175" t="s">
        <v>637</v>
      </c>
      <c r="I349" s="176"/>
      <c r="K349" s="175" t="s">
        <v>264</v>
      </c>
      <c r="L349" s="177"/>
      <c r="M349" s="177"/>
      <c r="N349" s="115"/>
      <c r="O349" s="115"/>
      <c r="P349" s="116"/>
      <c r="Q349" s="116"/>
      <c r="R349" s="117"/>
    </row>
    <row r="350" spans="1:18" s="148" customFormat="1" ht="18" customHeight="1" x14ac:dyDescent="0.25">
      <c r="A350" s="176"/>
      <c r="B350" s="176"/>
      <c r="C350" s="933"/>
      <c r="D350" s="933"/>
      <c r="E350" s="176"/>
      <c r="F350" s="176"/>
      <c r="G350" s="176"/>
      <c r="H350" s="176"/>
      <c r="I350" s="176"/>
      <c r="J350" s="176"/>
      <c r="K350" s="178"/>
      <c r="L350" s="177"/>
      <c r="M350" s="177"/>
      <c r="N350" s="115"/>
      <c r="O350" s="115"/>
      <c r="P350" s="116"/>
      <c r="Q350" s="116"/>
      <c r="R350" s="117"/>
    </row>
    <row r="351" spans="1:18" s="148" customFormat="1" ht="18" customHeight="1" x14ac:dyDescent="0.25">
      <c r="A351" s="1131" t="s">
        <v>66</v>
      </c>
      <c r="B351" s="1131"/>
      <c r="C351" s="1131"/>
      <c r="D351" s="1131"/>
      <c r="E351" s="1131"/>
      <c r="F351" s="1131"/>
      <c r="G351" s="176"/>
      <c r="H351" s="1131" t="s">
        <v>17</v>
      </c>
      <c r="I351" s="1131"/>
      <c r="J351" s="176"/>
      <c r="K351" s="1131" t="s">
        <v>1493</v>
      </c>
      <c r="L351" s="1131"/>
      <c r="M351" s="1131"/>
      <c r="N351" s="115"/>
      <c r="O351" s="115"/>
      <c r="P351" s="116"/>
      <c r="Q351" s="116"/>
      <c r="R351" s="117"/>
    </row>
    <row r="352" spans="1:18" s="148" customFormat="1" ht="18" customHeight="1" x14ac:dyDescent="0.25">
      <c r="A352" s="1132" t="s">
        <v>437</v>
      </c>
      <c r="B352" s="1132"/>
      <c r="C352" s="1132"/>
      <c r="D352" s="1132"/>
      <c r="E352" s="1132"/>
      <c r="F352" s="1132"/>
      <c r="G352" s="179"/>
      <c r="H352" s="1132" t="s">
        <v>18</v>
      </c>
      <c r="I352" s="1132"/>
      <c r="J352" s="932"/>
      <c r="K352" s="1132" t="s">
        <v>14</v>
      </c>
      <c r="L352" s="1132"/>
      <c r="M352" s="1132"/>
      <c r="N352" s="115"/>
      <c r="O352" s="115"/>
      <c r="P352" s="116"/>
      <c r="Q352" s="116"/>
      <c r="R352" s="117"/>
    </row>
    <row r="353" spans="1:17" ht="18" customHeight="1" x14ac:dyDescent="0.2">
      <c r="A353" s="111"/>
      <c r="B353" s="111"/>
      <c r="C353" s="930"/>
      <c r="D353" s="930"/>
      <c r="E353" s="1121"/>
      <c r="F353" s="1121"/>
      <c r="G353" s="1121"/>
      <c r="H353" s="930"/>
      <c r="I353" s="930"/>
      <c r="J353" s="930"/>
      <c r="K353" s="1121"/>
      <c r="L353" s="1121"/>
      <c r="M353" s="1121"/>
    </row>
    <row r="354" spans="1:17" ht="18" customHeight="1" x14ac:dyDescent="0.2">
      <c r="A354" s="111"/>
      <c r="B354" s="111"/>
      <c r="C354" s="930"/>
      <c r="D354" s="930"/>
      <c r="E354" s="930"/>
      <c r="F354" s="930"/>
      <c r="G354" s="930"/>
      <c r="H354" s="930"/>
      <c r="I354" s="930"/>
      <c r="J354" s="930"/>
      <c r="K354" s="930"/>
      <c r="L354" s="930"/>
      <c r="M354" s="930"/>
    </row>
    <row r="355" spans="1:17" ht="18" customHeight="1" x14ac:dyDescent="0.2">
      <c r="A355" s="111"/>
      <c r="B355" s="111"/>
      <c r="C355" s="930"/>
      <c r="D355" s="930"/>
      <c r="E355" s="930"/>
      <c r="F355" s="930"/>
      <c r="G355" s="930"/>
      <c r="H355" s="930"/>
      <c r="I355" s="930"/>
      <c r="J355" s="930"/>
      <c r="K355" s="930"/>
      <c r="L355" s="930"/>
      <c r="M355" s="930"/>
    </row>
    <row r="356" spans="1:17" ht="18" customHeight="1" x14ac:dyDescent="0.2">
      <c r="A356" s="111"/>
      <c r="B356" s="111"/>
      <c r="C356" s="930"/>
      <c r="D356" s="930"/>
      <c r="E356" s="930"/>
      <c r="F356" s="930"/>
      <c r="G356" s="930"/>
      <c r="H356" s="930"/>
      <c r="I356" s="930"/>
      <c r="J356" s="930"/>
      <c r="K356" s="930"/>
      <c r="L356" s="930"/>
      <c r="M356" s="930"/>
    </row>
    <row r="357" spans="1:17" ht="18" customHeight="1" x14ac:dyDescent="0.2">
      <c r="A357" s="111"/>
      <c r="B357" s="111"/>
      <c r="C357" s="930"/>
      <c r="D357" s="930"/>
      <c r="E357" s="930"/>
      <c r="F357" s="930"/>
      <c r="G357" s="930"/>
      <c r="H357" s="930"/>
      <c r="I357" s="930"/>
      <c r="J357" s="930"/>
      <c r="K357" s="930"/>
      <c r="L357" s="930"/>
      <c r="M357" s="930"/>
    </row>
    <row r="358" spans="1:17" ht="18" customHeight="1" x14ac:dyDescent="0.2">
      <c r="A358" s="111"/>
      <c r="B358" s="111"/>
      <c r="C358" s="930"/>
      <c r="D358" s="930"/>
      <c r="E358" s="930"/>
      <c r="F358" s="930"/>
      <c r="G358" s="930"/>
      <c r="H358" s="930"/>
      <c r="I358" s="930"/>
      <c r="J358" s="930"/>
      <c r="K358" s="930"/>
      <c r="L358" s="930"/>
      <c r="M358" s="930"/>
    </row>
    <row r="359" spans="1:17" ht="18" customHeight="1" x14ac:dyDescent="0.2">
      <c r="A359" s="111"/>
      <c r="B359" s="111"/>
      <c r="C359" s="930"/>
      <c r="D359" s="930"/>
      <c r="E359" s="930"/>
      <c r="F359" s="930"/>
      <c r="G359" s="930"/>
      <c r="H359" s="930"/>
      <c r="I359" s="930"/>
      <c r="J359" s="930"/>
      <c r="K359" s="930"/>
      <c r="L359" s="930"/>
      <c r="M359" s="930"/>
    </row>
    <row r="360" spans="1:17" ht="18" customHeight="1" x14ac:dyDescent="0.2">
      <c r="A360" s="111"/>
      <c r="B360" s="111"/>
      <c r="C360" s="930"/>
      <c r="D360" s="930"/>
      <c r="E360" s="930"/>
      <c r="F360" s="930"/>
      <c r="G360" s="930"/>
      <c r="H360" s="930"/>
      <c r="I360" s="930"/>
      <c r="J360" s="930"/>
      <c r="K360" s="930"/>
      <c r="L360" s="930"/>
      <c r="M360" s="930"/>
    </row>
    <row r="361" spans="1:17" ht="18" customHeight="1" x14ac:dyDescent="0.2"/>
    <row r="362" spans="1:17" s="181" customFormat="1" ht="20.100000000000001" customHeight="1" x14ac:dyDescent="0.35">
      <c r="A362" s="1142" t="s">
        <v>1004</v>
      </c>
      <c r="B362" s="1142"/>
      <c r="C362" s="1142"/>
      <c r="D362" s="1142"/>
      <c r="E362" s="1142"/>
      <c r="F362" s="1142"/>
      <c r="G362" s="1142"/>
      <c r="H362" s="1142"/>
      <c r="I362" s="1142"/>
      <c r="J362" s="1142"/>
      <c r="K362" s="1142"/>
      <c r="L362" s="1142"/>
      <c r="M362" s="1142"/>
      <c r="N362" s="273"/>
      <c r="O362" s="273"/>
      <c r="P362" s="273"/>
      <c r="Q362" s="273"/>
    </row>
    <row r="363" spans="1:17" ht="18" customHeight="1" x14ac:dyDescent="0.2">
      <c r="A363" s="110"/>
      <c r="B363" s="110"/>
      <c r="C363" s="937"/>
      <c r="D363" s="937"/>
      <c r="E363" s="111"/>
      <c r="F363" s="111"/>
      <c r="G363" s="111"/>
      <c r="H363" s="111"/>
      <c r="I363" s="111"/>
      <c r="J363" s="111"/>
      <c r="K363" s="112"/>
      <c r="M363" s="114"/>
    </row>
    <row r="364" spans="1:17" ht="18" customHeight="1" x14ac:dyDescent="0.3">
      <c r="A364" s="1119" t="s">
        <v>1549</v>
      </c>
      <c r="B364" s="1119"/>
      <c r="C364" s="1119"/>
      <c r="D364" s="1119"/>
      <c r="E364" s="1119"/>
      <c r="F364" s="1119"/>
      <c r="G364" s="1119"/>
      <c r="H364" s="1119"/>
      <c r="I364" s="1119"/>
      <c r="J364" s="1119"/>
      <c r="K364" s="1119"/>
      <c r="L364" s="1119"/>
      <c r="M364" s="1119"/>
    </row>
    <row r="365" spans="1:17" ht="18" customHeight="1" x14ac:dyDescent="0.3">
      <c r="A365" s="1120" t="s">
        <v>364</v>
      </c>
      <c r="B365" s="1120"/>
      <c r="C365" s="1120"/>
      <c r="D365" s="1120"/>
      <c r="E365" s="1120"/>
      <c r="F365" s="1120"/>
      <c r="G365" s="1120"/>
      <c r="H365" s="1120"/>
      <c r="I365" s="1120"/>
      <c r="J365" s="1120"/>
      <c r="K365" s="1120"/>
      <c r="L365" s="1120"/>
      <c r="M365" s="1120"/>
    </row>
    <row r="366" spans="1:17" ht="18" customHeight="1" x14ac:dyDescent="0.2">
      <c r="A366" s="1121"/>
      <c r="B366" s="1121"/>
      <c r="C366" s="1121"/>
      <c r="D366" s="1121"/>
      <c r="E366" s="1121"/>
      <c r="F366" s="1121"/>
      <c r="G366" s="1121"/>
      <c r="H366" s="1121"/>
      <c r="I366" s="1121"/>
      <c r="J366" s="1121"/>
      <c r="K366" s="1121"/>
      <c r="L366" s="1121"/>
      <c r="M366" s="1121"/>
    </row>
    <row r="367" spans="1:17" ht="18" customHeight="1" x14ac:dyDescent="0.2">
      <c r="A367" s="930"/>
      <c r="B367" s="930"/>
      <c r="C367" s="930"/>
      <c r="D367" s="930"/>
      <c r="E367" s="930"/>
      <c r="F367" s="930"/>
      <c r="G367" s="930"/>
      <c r="H367" s="930"/>
      <c r="I367" s="930"/>
      <c r="J367" s="930"/>
      <c r="K367" s="930"/>
      <c r="L367" s="930"/>
      <c r="M367" s="930"/>
    </row>
    <row r="368" spans="1:17" ht="18" customHeight="1" x14ac:dyDescent="0.2">
      <c r="A368" s="111" t="s">
        <v>470</v>
      </c>
      <c r="B368" s="111"/>
      <c r="C368" s="111" t="s">
        <v>455</v>
      </c>
      <c r="D368" s="111" t="s">
        <v>319</v>
      </c>
      <c r="E368" s="111"/>
      <c r="F368" s="111"/>
      <c r="G368" s="111"/>
      <c r="H368" s="930"/>
      <c r="I368" s="930"/>
      <c r="J368" s="930"/>
      <c r="K368" s="930"/>
      <c r="L368" s="930"/>
      <c r="M368" s="930"/>
    </row>
    <row r="369" spans="1:18" ht="18" customHeight="1" x14ac:dyDescent="0.25">
      <c r="A369" s="111" t="s">
        <v>465</v>
      </c>
      <c r="B369" s="111"/>
      <c r="C369" s="111" t="s">
        <v>455</v>
      </c>
      <c r="D369" s="111" t="s">
        <v>471</v>
      </c>
      <c r="E369" s="111"/>
      <c r="F369" s="111"/>
      <c r="G369" s="111"/>
      <c r="H369" s="930"/>
      <c r="I369" s="930"/>
      <c r="J369" s="930"/>
      <c r="K369" s="930"/>
      <c r="L369" s="930"/>
      <c r="M369" s="930"/>
      <c r="N369" s="182"/>
    </row>
    <row r="370" spans="1:18" ht="18" customHeight="1" thickBot="1" x14ac:dyDescent="0.3">
      <c r="A370" s="111" t="s">
        <v>462</v>
      </c>
      <c r="B370" s="111"/>
      <c r="C370" s="111" t="s">
        <v>455</v>
      </c>
      <c r="D370" s="111" t="s">
        <v>686</v>
      </c>
      <c r="E370" s="111"/>
      <c r="F370" s="111"/>
      <c r="G370" s="111"/>
      <c r="H370" s="930"/>
      <c r="I370" s="930"/>
      <c r="J370" s="930"/>
      <c r="K370" s="930"/>
      <c r="L370" s="930"/>
      <c r="M370" s="930"/>
      <c r="N370" s="182"/>
    </row>
    <row r="371" spans="1:18" ht="18" customHeight="1" x14ac:dyDescent="0.25">
      <c r="A371" s="1122" t="s">
        <v>642</v>
      </c>
      <c r="B371" s="1123"/>
      <c r="C371" s="1123"/>
      <c r="D371" s="1123"/>
      <c r="E371" s="1124"/>
      <c r="F371" s="1123"/>
      <c r="G371" s="1125"/>
      <c r="H371" s="121"/>
      <c r="I371" s="1126" t="s">
        <v>646</v>
      </c>
      <c r="J371" s="1127"/>
      <c r="K371" s="1126" t="s">
        <v>646</v>
      </c>
      <c r="L371" s="1127"/>
      <c r="M371" s="122"/>
      <c r="N371" s="182"/>
    </row>
    <row r="372" spans="1:18" ht="18" customHeight="1" x14ac:dyDescent="0.2">
      <c r="A372" s="123" t="s">
        <v>643</v>
      </c>
      <c r="B372" s="1133" t="s">
        <v>644</v>
      </c>
      <c r="C372" s="1134"/>
      <c r="D372" s="1135"/>
      <c r="E372" s="1136" t="s">
        <v>45</v>
      </c>
      <c r="F372" s="1137"/>
      <c r="G372" s="1138"/>
      <c r="H372" s="934" t="s">
        <v>46</v>
      </c>
      <c r="I372" s="1136" t="s">
        <v>1492</v>
      </c>
      <c r="J372" s="1138"/>
      <c r="K372" s="1137" t="s">
        <v>1550</v>
      </c>
      <c r="L372" s="1138"/>
      <c r="M372" s="124" t="s">
        <v>47</v>
      </c>
    </row>
    <row r="373" spans="1:18" ht="18" customHeight="1" x14ac:dyDescent="0.2">
      <c r="A373" s="125"/>
      <c r="B373" s="934"/>
      <c r="C373" s="935"/>
      <c r="D373" s="935"/>
      <c r="E373" s="934"/>
      <c r="F373" s="935"/>
      <c r="G373" s="936"/>
      <c r="H373" s="934" t="s">
        <v>48</v>
      </c>
      <c r="I373" s="1139" t="s">
        <v>1551</v>
      </c>
      <c r="J373" s="1140"/>
      <c r="K373" s="1139"/>
      <c r="L373" s="1140"/>
      <c r="M373" s="124" t="s">
        <v>49</v>
      </c>
    </row>
    <row r="374" spans="1:18" ht="18" customHeight="1" x14ac:dyDescent="0.2">
      <c r="A374" s="125"/>
      <c r="B374" s="934"/>
      <c r="C374" s="935"/>
      <c r="D374" s="935"/>
      <c r="E374" s="934"/>
      <c r="F374" s="935"/>
      <c r="G374" s="126"/>
      <c r="H374" s="127"/>
      <c r="I374" s="128" t="s">
        <v>645</v>
      </c>
      <c r="J374" s="129" t="s">
        <v>50</v>
      </c>
      <c r="K374" s="128" t="s">
        <v>645</v>
      </c>
      <c r="L374" s="129" t="s">
        <v>50</v>
      </c>
      <c r="M374" s="124"/>
    </row>
    <row r="375" spans="1:18" ht="18" customHeight="1" thickBot="1" x14ac:dyDescent="0.25">
      <c r="A375" s="130"/>
      <c r="B375" s="1128"/>
      <c r="C375" s="1129"/>
      <c r="D375" s="1130"/>
      <c r="E375" s="1128"/>
      <c r="F375" s="1129"/>
      <c r="G375" s="1130"/>
      <c r="H375" s="131"/>
      <c r="I375" s="131"/>
      <c r="J375" s="131"/>
      <c r="K375" s="131"/>
      <c r="L375" s="131"/>
      <c r="M375" s="132"/>
    </row>
    <row r="376" spans="1:18" ht="18" customHeight="1" x14ac:dyDescent="0.2">
      <c r="A376" s="183"/>
      <c r="B376" s="119"/>
      <c r="C376" s="119"/>
      <c r="D376" s="119"/>
      <c r="E376" s="133"/>
      <c r="F376" s="119"/>
      <c r="G376" s="134"/>
      <c r="H376" s="135"/>
      <c r="I376" s="184"/>
      <c r="J376" s="137"/>
      <c r="K376" s="184"/>
      <c r="L376" s="137"/>
      <c r="M376" s="137"/>
    </row>
    <row r="377" spans="1:18" s="148" customFormat="1" ht="18" customHeight="1" x14ac:dyDescent="0.25">
      <c r="A377" s="185">
        <v>1</v>
      </c>
      <c r="B377" s="140"/>
      <c r="C377" s="140"/>
      <c r="D377" s="140"/>
      <c r="E377" s="156" t="s">
        <v>80</v>
      </c>
      <c r="F377" s="140"/>
      <c r="G377" s="142"/>
      <c r="H377" s="143" t="s">
        <v>17</v>
      </c>
      <c r="I377" s="187" t="s">
        <v>81</v>
      </c>
      <c r="J377" s="177">
        <f>80991*12</f>
        <v>971892</v>
      </c>
      <c r="K377" s="187" t="s">
        <v>81</v>
      </c>
      <c r="L377" s="177">
        <v>990948</v>
      </c>
      <c r="M377" s="146">
        <f>L377-J377</f>
        <v>19056</v>
      </c>
      <c r="N377" s="115">
        <f>L377-J377</f>
        <v>19056</v>
      </c>
      <c r="O377" s="115">
        <f>N377-M377</f>
        <v>0</v>
      </c>
      <c r="P377" s="116">
        <v>69142</v>
      </c>
      <c r="Q377" s="116">
        <f>P377*12</f>
        <v>829704</v>
      </c>
      <c r="R377" s="147">
        <f>Q377-L377</f>
        <v>-161244</v>
      </c>
    </row>
    <row r="378" spans="1:18" s="148" customFormat="1" ht="18" customHeight="1" x14ac:dyDescent="0.25">
      <c r="A378" s="185"/>
      <c r="B378" s="140"/>
      <c r="C378" s="140"/>
      <c r="D378" s="140"/>
      <c r="E378" s="156" t="s">
        <v>919</v>
      </c>
      <c r="F378" s="140"/>
      <c r="G378" s="142"/>
      <c r="H378" s="143"/>
      <c r="I378" s="188"/>
      <c r="J378" s="177"/>
      <c r="K378" s="188"/>
      <c r="L378" s="177"/>
      <c r="M378" s="145"/>
      <c r="N378" s="115"/>
      <c r="O378" s="115"/>
      <c r="P378" s="116"/>
      <c r="Q378" s="116"/>
      <c r="R378" s="117"/>
    </row>
    <row r="379" spans="1:18" s="148" customFormat="1" ht="18" customHeight="1" x14ac:dyDescent="0.25">
      <c r="A379" s="185"/>
      <c r="B379" s="140"/>
      <c r="C379" s="140"/>
      <c r="D379" s="140"/>
      <c r="E379" s="156"/>
      <c r="F379" s="140"/>
      <c r="G379" s="142"/>
      <c r="H379" s="143"/>
      <c r="I379" s="188"/>
      <c r="J379" s="177"/>
      <c r="K379" s="188"/>
      <c r="L379" s="177"/>
      <c r="M379" s="145"/>
      <c r="N379" s="115"/>
      <c r="O379" s="115"/>
      <c r="P379" s="116"/>
      <c r="Q379" s="116"/>
      <c r="R379" s="117"/>
    </row>
    <row r="380" spans="1:18" s="148" customFormat="1" ht="18" customHeight="1" x14ac:dyDescent="0.25">
      <c r="A380" s="185"/>
      <c r="B380" s="140"/>
      <c r="C380" s="140"/>
      <c r="D380" s="140"/>
      <c r="E380" s="156"/>
      <c r="F380" s="140"/>
      <c r="G380" s="142"/>
      <c r="H380" s="143"/>
      <c r="I380" s="188"/>
      <c r="J380" s="177"/>
      <c r="K380" s="188"/>
      <c r="L380" s="177"/>
      <c r="M380" s="145"/>
      <c r="N380" s="115"/>
      <c r="O380" s="115"/>
      <c r="P380" s="116"/>
      <c r="Q380" s="116"/>
      <c r="R380" s="117"/>
    </row>
    <row r="381" spans="1:18" s="148" customFormat="1" ht="18" customHeight="1" x14ac:dyDescent="0.25">
      <c r="A381" s="185">
        <v>2</v>
      </c>
      <c r="B381" s="140"/>
      <c r="C381" s="140"/>
      <c r="D381" s="140"/>
      <c r="E381" s="156" t="s">
        <v>65</v>
      </c>
      <c r="F381" s="140"/>
      <c r="G381" s="142"/>
      <c r="H381" s="143" t="s">
        <v>93</v>
      </c>
      <c r="I381" s="144" t="s">
        <v>137</v>
      </c>
      <c r="J381" s="145">
        <f>19210*12</f>
        <v>230520</v>
      </c>
      <c r="K381" s="144" t="s">
        <v>137</v>
      </c>
      <c r="L381" s="145">
        <v>246444</v>
      </c>
      <c r="M381" s="146">
        <f>L381-J381</f>
        <v>15924</v>
      </c>
      <c r="N381" s="115">
        <f>L381-J381</f>
        <v>15924</v>
      </c>
      <c r="O381" s="115">
        <f>N381-M381</f>
        <v>0</v>
      </c>
      <c r="P381" s="116">
        <v>17152</v>
      </c>
      <c r="Q381" s="116">
        <f>P381*12</f>
        <v>205824</v>
      </c>
      <c r="R381" s="147">
        <f>Q381-L381</f>
        <v>-40620</v>
      </c>
    </row>
    <row r="382" spans="1:18" s="148" customFormat="1" ht="18" customHeight="1" x14ac:dyDescent="0.25">
      <c r="A382" s="185"/>
      <c r="B382" s="140"/>
      <c r="C382" s="140"/>
      <c r="D382" s="140"/>
      <c r="E382" s="156"/>
      <c r="F382" s="140"/>
      <c r="G382" s="142"/>
      <c r="H382" s="143"/>
      <c r="I382" s="144"/>
      <c r="J382" s="145"/>
      <c r="K382" s="144"/>
      <c r="L382" s="145"/>
      <c r="M382" s="146"/>
      <c r="N382" s="115"/>
      <c r="O382" s="115"/>
      <c r="P382" s="116"/>
      <c r="Q382" s="116"/>
      <c r="R382" s="147"/>
    </row>
    <row r="383" spans="1:18" s="148" customFormat="1" ht="18" customHeight="1" x14ac:dyDescent="0.25">
      <c r="A383" s="185"/>
      <c r="B383" s="140"/>
      <c r="C383" s="140"/>
      <c r="D383" s="140"/>
      <c r="E383" s="139"/>
      <c r="F383" s="140"/>
      <c r="G383" s="142"/>
      <c r="H383" s="143"/>
      <c r="I383" s="144"/>
      <c r="J383" s="151"/>
      <c r="K383" s="144"/>
      <c r="L383" s="151"/>
      <c r="M383" s="145"/>
      <c r="N383" s="115"/>
      <c r="O383" s="115"/>
      <c r="P383" s="116"/>
      <c r="Q383" s="116"/>
      <c r="R383" s="117"/>
    </row>
    <row r="384" spans="1:18" s="148" customFormat="1" ht="18" customHeight="1" x14ac:dyDescent="0.25">
      <c r="A384" s="185">
        <v>3</v>
      </c>
      <c r="B384" s="140"/>
      <c r="C384" s="140"/>
      <c r="D384" s="140"/>
      <c r="E384" s="156" t="s">
        <v>90</v>
      </c>
      <c r="F384" s="140"/>
      <c r="G384" s="142"/>
      <c r="H384" s="143" t="s">
        <v>107</v>
      </c>
      <c r="I384" s="187" t="s">
        <v>397</v>
      </c>
      <c r="J384" s="177">
        <f>15014*12</f>
        <v>180168</v>
      </c>
      <c r="K384" s="187" t="s">
        <v>168</v>
      </c>
      <c r="L384" s="177">
        <v>186156</v>
      </c>
      <c r="M384" s="146">
        <f>L384-J384</f>
        <v>5988</v>
      </c>
      <c r="N384" s="115">
        <f>L384-J384</f>
        <v>5988</v>
      </c>
      <c r="O384" s="115">
        <f>N384-M384</f>
        <v>0</v>
      </c>
      <c r="P384" s="116">
        <v>13840</v>
      </c>
      <c r="Q384" s="116">
        <f>P384*12</f>
        <v>166080</v>
      </c>
      <c r="R384" s="147">
        <f>Q384-L384</f>
        <v>-20076</v>
      </c>
    </row>
    <row r="385" spans="1:18" s="148" customFormat="1" ht="18" customHeight="1" x14ac:dyDescent="0.25">
      <c r="A385" s="185"/>
      <c r="B385" s="140"/>
      <c r="C385" s="140"/>
      <c r="D385" s="140"/>
      <c r="E385" s="139"/>
      <c r="F385" s="140"/>
      <c r="G385" s="142"/>
      <c r="H385" s="143"/>
      <c r="I385" s="144"/>
      <c r="J385" s="145"/>
      <c r="K385" s="144"/>
      <c r="L385" s="145"/>
      <c r="M385" s="145"/>
      <c r="N385" s="115"/>
      <c r="O385" s="115"/>
      <c r="P385" s="116"/>
      <c r="Q385" s="116"/>
      <c r="R385" s="117"/>
    </row>
    <row r="386" spans="1:18" s="148" customFormat="1" ht="18" customHeight="1" x14ac:dyDescent="0.25">
      <c r="A386" s="185"/>
      <c r="B386" s="140"/>
      <c r="C386" s="140"/>
      <c r="D386" s="140"/>
      <c r="E386" s="139"/>
      <c r="F386" s="140"/>
      <c r="G386" s="142"/>
      <c r="H386" s="143"/>
      <c r="I386" s="144"/>
      <c r="J386" s="145"/>
      <c r="K386" s="144"/>
      <c r="L386" s="145"/>
      <c r="M386" s="145"/>
      <c r="N386" s="115"/>
      <c r="O386" s="115"/>
      <c r="P386" s="116"/>
      <c r="Q386" s="116"/>
      <c r="R386" s="117"/>
    </row>
    <row r="387" spans="1:18" s="148" customFormat="1" ht="18" customHeight="1" x14ac:dyDescent="0.25">
      <c r="A387" s="185"/>
      <c r="B387" s="140"/>
      <c r="C387" s="140"/>
      <c r="D387" s="140"/>
      <c r="E387" s="139"/>
      <c r="F387" s="140"/>
      <c r="G387" s="142"/>
      <c r="H387" s="143"/>
      <c r="I387" s="144"/>
      <c r="J387" s="145"/>
      <c r="K387" s="144"/>
      <c r="L387" s="145"/>
      <c r="M387" s="145"/>
      <c r="N387" s="115"/>
      <c r="O387" s="115"/>
      <c r="P387" s="116"/>
      <c r="Q387" s="116"/>
      <c r="R387" s="117"/>
    </row>
    <row r="388" spans="1:18" s="148" customFormat="1" ht="18" customHeight="1" x14ac:dyDescent="0.25">
      <c r="A388" s="185"/>
      <c r="B388" s="140"/>
      <c r="C388" s="140"/>
      <c r="D388" s="140"/>
      <c r="E388" s="139"/>
      <c r="F388" s="140"/>
      <c r="G388" s="142"/>
      <c r="H388" s="143"/>
      <c r="I388" s="144"/>
      <c r="J388" s="145"/>
      <c r="K388" s="144"/>
      <c r="L388" s="145"/>
      <c r="M388" s="145"/>
      <c r="N388" s="115"/>
      <c r="O388" s="115"/>
      <c r="P388" s="116"/>
      <c r="Q388" s="116"/>
      <c r="R388" s="117"/>
    </row>
    <row r="389" spans="1:18" s="148" customFormat="1" ht="18" customHeight="1" x14ac:dyDescent="0.25">
      <c r="A389" s="185"/>
      <c r="B389" s="140"/>
      <c r="C389" s="140"/>
      <c r="D389" s="140"/>
      <c r="E389" s="139"/>
      <c r="F389" s="140"/>
      <c r="G389" s="142"/>
      <c r="H389" s="143"/>
      <c r="I389" s="144"/>
      <c r="J389" s="145"/>
      <c r="K389" s="144"/>
      <c r="L389" s="145"/>
      <c r="M389" s="145"/>
      <c r="N389" s="115"/>
      <c r="O389" s="115"/>
      <c r="P389" s="116"/>
      <c r="Q389" s="116"/>
      <c r="R389" s="117"/>
    </row>
    <row r="390" spans="1:18" s="148" customFormat="1" ht="18" customHeight="1" x14ac:dyDescent="0.25">
      <c r="A390" s="185"/>
      <c r="B390" s="140"/>
      <c r="C390" s="140"/>
      <c r="D390" s="140"/>
      <c r="E390" s="139"/>
      <c r="F390" s="140"/>
      <c r="G390" s="142"/>
      <c r="H390" s="143"/>
      <c r="I390" s="144"/>
      <c r="J390" s="145"/>
      <c r="K390" s="144"/>
      <c r="L390" s="145"/>
      <c r="M390" s="145"/>
      <c r="N390" s="115"/>
      <c r="O390" s="115"/>
      <c r="P390" s="116"/>
      <c r="Q390" s="116"/>
      <c r="R390" s="117"/>
    </row>
    <row r="391" spans="1:18" s="148" customFormat="1" ht="18" customHeight="1" x14ac:dyDescent="0.25">
      <c r="A391" s="185"/>
      <c r="B391" s="140"/>
      <c r="C391" s="140"/>
      <c r="D391" s="140"/>
      <c r="E391" s="139"/>
      <c r="F391" s="140"/>
      <c r="G391" s="142"/>
      <c r="H391" s="143"/>
      <c r="I391" s="144"/>
      <c r="J391" s="145"/>
      <c r="K391" s="144"/>
      <c r="L391" s="145"/>
      <c r="M391" s="145"/>
      <c r="N391" s="115"/>
      <c r="O391" s="115"/>
      <c r="P391" s="116"/>
      <c r="Q391" s="116"/>
      <c r="R391" s="117"/>
    </row>
    <row r="392" spans="1:18" s="148" customFormat="1" ht="18" customHeight="1" x14ac:dyDescent="0.25">
      <c r="A392" s="185"/>
      <c r="B392" s="140"/>
      <c r="C392" s="140"/>
      <c r="D392" s="140"/>
      <c r="E392" s="139"/>
      <c r="F392" s="140"/>
      <c r="G392" s="142"/>
      <c r="H392" s="143"/>
      <c r="I392" s="144"/>
      <c r="J392" s="145"/>
      <c r="K392" s="144"/>
      <c r="L392" s="145"/>
      <c r="M392" s="145"/>
      <c r="N392" s="115"/>
      <c r="O392" s="115"/>
      <c r="P392" s="116"/>
      <c r="Q392" s="116"/>
      <c r="R392" s="117"/>
    </row>
    <row r="393" spans="1:18" s="148" customFormat="1" ht="18" customHeight="1" x14ac:dyDescent="0.25">
      <c r="A393" s="185"/>
      <c r="B393" s="140"/>
      <c r="C393" s="140"/>
      <c r="D393" s="140"/>
      <c r="E393" s="139"/>
      <c r="F393" s="140"/>
      <c r="G393" s="142"/>
      <c r="H393" s="143"/>
      <c r="I393" s="144"/>
      <c r="J393" s="145"/>
      <c r="K393" s="144"/>
      <c r="L393" s="145"/>
      <c r="M393" s="145"/>
      <c r="N393" s="115"/>
      <c r="O393" s="115"/>
      <c r="P393" s="116"/>
      <c r="Q393" s="116"/>
      <c r="R393" s="117"/>
    </row>
    <row r="394" spans="1:18" s="148" customFormat="1" ht="18" customHeight="1" x14ac:dyDescent="0.25">
      <c r="A394" s="185"/>
      <c r="B394" s="140"/>
      <c r="C394" s="140"/>
      <c r="D394" s="140"/>
      <c r="E394" s="139"/>
      <c r="F394" s="140"/>
      <c r="G394" s="142"/>
      <c r="H394" s="143"/>
      <c r="I394" s="144"/>
      <c r="J394" s="145"/>
      <c r="K394" s="144"/>
      <c r="L394" s="145"/>
      <c r="M394" s="145"/>
      <c r="N394" s="115"/>
      <c r="O394" s="115"/>
      <c r="P394" s="116"/>
      <c r="Q394" s="116"/>
      <c r="R394" s="117"/>
    </row>
    <row r="395" spans="1:18" s="148" customFormat="1" ht="18" customHeight="1" x14ac:dyDescent="0.25">
      <c r="A395" s="185"/>
      <c r="B395" s="140"/>
      <c r="C395" s="140"/>
      <c r="D395" s="140"/>
      <c r="E395" s="139"/>
      <c r="F395" s="140"/>
      <c r="G395" s="142"/>
      <c r="H395" s="143"/>
      <c r="I395" s="144"/>
      <c r="J395" s="145"/>
      <c r="K395" s="144"/>
      <c r="L395" s="145"/>
      <c r="M395" s="145"/>
      <c r="N395" s="115"/>
      <c r="O395" s="115"/>
      <c r="P395" s="116"/>
      <c r="Q395" s="116"/>
      <c r="R395" s="117"/>
    </row>
    <row r="396" spans="1:18" s="148" customFormat="1" ht="18" customHeight="1" x14ac:dyDescent="0.25">
      <c r="A396" s="185"/>
      <c r="B396" s="140"/>
      <c r="C396" s="140"/>
      <c r="D396" s="140"/>
      <c r="E396" s="139"/>
      <c r="F396" s="140"/>
      <c r="G396" s="142"/>
      <c r="H396" s="143"/>
      <c r="I396" s="144"/>
      <c r="J396" s="145"/>
      <c r="K396" s="144"/>
      <c r="L396" s="145"/>
      <c r="M396" s="145"/>
      <c r="N396" s="115"/>
      <c r="O396" s="115"/>
      <c r="P396" s="116"/>
      <c r="Q396" s="116"/>
      <c r="R396" s="117"/>
    </row>
    <row r="397" spans="1:18" s="148" customFormat="1" ht="18" customHeight="1" x14ac:dyDescent="0.25">
      <c r="A397" s="185"/>
      <c r="B397" s="140"/>
      <c r="C397" s="140"/>
      <c r="D397" s="140"/>
      <c r="E397" s="139"/>
      <c r="F397" s="140"/>
      <c r="G397" s="142"/>
      <c r="H397" s="143"/>
      <c r="I397" s="144"/>
      <c r="J397" s="145"/>
      <c r="K397" s="144"/>
      <c r="L397" s="145"/>
      <c r="M397" s="145"/>
      <c r="N397" s="115"/>
      <c r="O397" s="115"/>
      <c r="P397" s="116"/>
      <c r="Q397" s="116"/>
      <c r="R397" s="117"/>
    </row>
    <row r="398" spans="1:18" s="148" customFormat="1" ht="18" customHeight="1" x14ac:dyDescent="0.25">
      <c r="A398" s="185"/>
      <c r="B398" s="140"/>
      <c r="C398" s="140"/>
      <c r="D398" s="140"/>
      <c r="E398" s="139"/>
      <c r="F398" s="140"/>
      <c r="G398" s="142"/>
      <c r="H398" s="143"/>
      <c r="I398" s="144"/>
      <c r="J398" s="145"/>
      <c r="K398" s="144"/>
      <c r="L398" s="145"/>
      <c r="M398" s="145"/>
      <c r="N398" s="115"/>
      <c r="O398" s="115"/>
      <c r="P398" s="116"/>
      <c r="Q398" s="116"/>
      <c r="R398" s="117"/>
    </row>
    <row r="399" spans="1:18" s="148" customFormat="1" ht="18" customHeight="1" x14ac:dyDescent="0.25">
      <c r="A399" s="185"/>
      <c r="B399" s="140"/>
      <c r="C399" s="140"/>
      <c r="D399" s="140"/>
      <c r="E399" s="139"/>
      <c r="F399" s="140"/>
      <c r="G399" s="142"/>
      <c r="H399" s="143"/>
      <c r="I399" s="144"/>
      <c r="J399" s="145"/>
      <c r="K399" s="144"/>
      <c r="L399" s="145"/>
      <c r="M399" s="145"/>
      <c r="N399" s="115"/>
      <c r="O399" s="115"/>
      <c r="P399" s="116"/>
      <c r="Q399" s="116"/>
      <c r="R399" s="117"/>
    </row>
    <row r="400" spans="1:18" s="148" customFormat="1" ht="18" customHeight="1" x14ac:dyDescent="0.25">
      <c r="A400" s="185"/>
      <c r="B400" s="140"/>
      <c r="C400" s="140"/>
      <c r="D400" s="140"/>
      <c r="E400" s="139"/>
      <c r="F400" s="140"/>
      <c r="G400" s="142"/>
      <c r="H400" s="143"/>
      <c r="I400" s="144"/>
      <c r="J400" s="145"/>
      <c r="K400" s="144"/>
      <c r="L400" s="145"/>
      <c r="M400" s="145"/>
      <c r="N400" s="115"/>
      <c r="O400" s="115"/>
      <c r="P400" s="116"/>
      <c r="Q400" s="116"/>
      <c r="R400" s="117"/>
    </row>
    <row r="401" spans="1:18" s="148" customFormat="1" ht="18" customHeight="1" x14ac:dyDescent="0.25">
      <c r="A401" s="185"/>
      <c r="B401" s="140"/>
      <c r="C401" s="140"/>
      <c r="D401" s="140"/>
      <c r="E401" s="139"/>
      <c r="F401" s="140"/>
      <c r="G401" s="142"/>
      <c r="H401" s="143"/>
      <c r="I401" s="144"/>
      <c r="J401" s="145"/>
      <c r="K401" s="144"/>
      <c r="L401" s="145"/>
      <c r="M401" s="145"/>
      <c r="N401" s="115"/>
      <c r="O401" s="115"/>
      <c r="P401" s="116"/>
      <c r="Q401" s="116"/>
      <c r="R401" s="117"/>
    </row>
    <row r="402" spans="1:18" s="148" customFormat="1" ht="18" customHeight="1" x14ac:dyDescent="0.25">
      <c r="A402" s="143"/>
      <c r="B402" s="157"/>
      <c r="C402" s="140"/>
      <c r="D402" s="140"/>
      <c r="E402" s="156"/>
      <c r="F402" s="157"/>
      <c r="G402" s="142"/>
      <c r="H402" s="143"/>
      <c r="I402" s="144"/>
      <c r="J402" s="145"/>
      <c r="K402" s="144"/>
      <c r="L402" s="145"/>
      <c r="M402" s="145"/>
      <c r="N402" s="115"/>
      <c r="O402" s="115"/>
      <c r="P402" s="116"/>
      <c r="Q402" s="116"/>
      <c r="R402" s="117"/>
    </row>
    <row r="403" spans="1:18" s="148" customFormat="1" ht="18" customHeight="1" x14ac:dyDescent="0.25">
      <c r="A403" s="143"/>
      <c r="B403" s="157"/>
      <c r="C403" s="140"/>
      <c r="D403" s="140"/>
      <c r="E403" s="156"/>
      <c r="F403" s="157"/>
      <c r="G403" s="142"/>
      <c r="H403" s="143"/>
      <c r="I403" s="144"/>
      <c r="J403" s="145"/>
      <c r="K403" s="144"/>
      <c r="L403" s="145"/>
      <c r="M403" s="145"/>
      <c r="N403" s="115"/>
      <c r="O403" s="115"/>
      <c r="P403" s="116"/>
      <c r="Q403" s="116"/>
      <c r="R403" s="117"/>
    </row>
    <row r="404" spans="1:18" s="148" customFormat="1" ht="18" customHeight="1" x14ac:dyDescent="0.25">
      <c r="A404" s="143"/>
      <c r="B404" s="157"/>
      <c r="C404" s="140"/>
      <c r="D404" s="140"/>
      <c r="E404" s="156"/>
      <c r="F404" s="157"/>
      <c r="G404" s="142"/>
      <c r="H404" s="143"/>
      <c r="I404" s="213"/>
      <c r="J404" s="145"/>
      <c r="K404" s="213"/>
      <c r="L404" s="145"/>
      <c r="M404" s="145"/>
      <c r="N404" s="115"/>
      <c r="O404" s="115"/>
      <c r="P404" s="116"/>
      <c r="Q404" s="116"/>
      <c r="R404" s="117"/>
    </row>
    <row r="405" spans="1:18" s="148" customFormat="1" ht="18" customHeight="1" x14ac:dyDescent="0.25">
      <c r="A405" s="143"/>
      <c r="B405" s="157"/>
      <c r="C405" s="140"/>
      <c r="D405" s="140"/>
      <c r="E405" s="156"/>
      <c r="F405" s="157"/>
      <c r="G405" s="142"/>
      <c r="H405" s="143"/>
      <c r="I405" s="213"/>
      <c r="J405" s="145"/>
      <c r="K405" s="213"/>
      <c r="L405" s="145"/>
      <c r="M405" s="145"/>
      <c r="N405" s="115"/>
      <c r="O405" s="115"/>
      <c r="P405" s="116"/>
      <c r="Q405" s="116"/>
      <c r="R405" s="117"/>
    </row>
    <row r="406" spans="1:18" s="148" customFormat="1" ht="18" customHeight="1" x14ac:dyDescent="0.25">
      <c r="A406" s="143"/>
      <c r="B406" s="157"/>
      <c r="C406" s="140"/>
      <c r="D406" s="140"/>
      <c r="E406" s="156"/>
      <c r="F406" s="157"/>
      <c r="G406" s="142"/>
      <c r="H406" s="143"/>
      <c r="I406" s="213"/>
      <c r="J406" s="145"/>
      <c r="K406" s="213"/>
      <c r="L406" s="145"/>
      <c r="M406" s="145"/>
      <c r="N406" s="115"/>
      <c r="O406" s="115"/>
      <c r="P406" s="116"/>
      <c r="Q406" s="116"/>
      <c r="R406" s="117"/>
    </row>
    <row r="407" spans="1:18" s="148" customFormat="1" ht="18" customHeight="1" x14ac:dyDescent="0.25">
      <c r="A407" s="143"/>
      <c r="B407" s="157"/>
      <c r="C407" s="140"/>
      <c r="D407" s="140"/>
      <c r="E407" s="156"/>
      <c r="F407" s="157"/>
      <c r="G407" s="142"/>
      <c r="H407" s="143"/>
      <c r="I407" s="213"/>
      <c r="J407" s="145"/>
      <c r="K407" s="213"/>
      <c r="L407" s="145"/>
      <c r="M407" s="145"/>
      <c r="N407" s="115"/>
      <c r="O407" s="115"/>
      <c r="P407" s="116"/>
      <c r="Q407" s="116"/>
      <c r="R407" s="117"/>
    </row>
    <row r="408" spans="1:18" s="148" customFormat="1" ht="18" customHeight="1" x14ac:dyDescent="0.25">
      <c r="A408" s="143"/>
      <c r="B408" s="157"/>
      <c r="C408" s="140"/>
      <c r="D408" s="140"/>
      <c r="E408" s="156"/>
      <c r="F408" s="157"/>
      <c r="G408" s="142"/>
      <c r="H408" s="143"/>
      <c r="I408" s="213"/>
      <c r="J408" s="145"/>
      <c r="K408" s="213"/>
      <c r="L408" s="145"/>
      <c r="M408" s="145"/>
      <c r="N408" s="115"/>
      <c r="O408" s="115"/>
      <c r="P408" s="116"/>
      <c r="Q408" s="116"/>
      <c r="R408" s="117"/>
    </row>
    <row r="409" spans="1:18" s="148" customFormat="1" ht="18" customHeight="1" x14ac:dyDescent="0.25">
      <c r="A409" s="143"/>
      <c r="B409" s="157"/>
      <c r="C409" s="140"/>
      <c r="D409" s="140"/>
      <c r="E409" s="156"/>
      <c r="F409" s="157"/>
      <c r="G409" s="142"/>
      <c r="H409" s="143"/>
      <c r="I409" s="213"/>
      <c r="J409" s="145"/>
      <c r="K409" s="213"/>
      <c r="L409" s="145"/>
      <c r="M409" s="145"/>
      <c r="N409" s="115"/>
      <c r="O409" s="115"/>
      <c r="P409" s="116"/>
      <c r="Q409" s="116"/>
      <c r="R409" s="117"/>
    </row>
    <row r="410" spans="1:18" s="148" customFormat="1" ht="18" customHeight="1" x14ac:dyDescent="0.25">
      <c r="A410" s="143"/>
      <c r="B410" s="157"/>
      <c r="C410" s="140"/>
      <c r="D410" s="140"/>
      <c r="E410" s="156"/>
      <c r="F410" s="157"/>
      <c r="G410" s="142"/>
      <c r="H410" s="143"/>
      <c r="I410" s="213"/>
      <c r="J410" s="145"/>
      <c r="K410" s="213"/>
      <c r="L410" s="145"/>
      <c r="M410" s="145"/>
      <c r="N410" s="115"/>
      <c r="O410" s="115"/>
      <c r="P410" s="116"/>
      <c r="Q410" s="116"/>
      <c r="R410" s="117"/>
    </row>
    <row r="411" spans="1:18" s="148" customFormat="1" ht="18" customHeight="1" x14ac:dyDescent="0.25">
      <c r="A411" s="143"/>
      <c r="B411" s="157"/>
      <c r="C411" s="140"/>
      <c r="D411" s="140"/>
      <c r="E411" s="156"/>
      <c r="F411" s="157"/>
      <c r="G411" s="142"/>
      <c r="H411" s="143"/>
      <c r="I411" s="213"/>
      <c r="J411" s="145"/>
      <c r="K411" s="213"/>
      <c r="L411" s="145"/>
      <c r="M411" s="145"/>
      <c r="N411" s="115"/>
      <c r="O411" s="115"/>
      <c r="P411" s="116"/>
      <c r="Q411" s="116"/>
      <c r="R411" s="117"/>
    </row>
    <row r="412" spans="1:18" s="148" customFormat="1" ht="18" customHeight="1" x14ac:dyDescent="0.25">
      <c r="A412" s="143"/>
      <c r="B412" s="157"/>
      <c r="C412" s="140"/>
      <c r="D412" s="140"/>
      <c r="E412" s="156"/>
      <c r="F412" s="157"/>
      <c r="G412" s="142"/>
      <c r="H412" s="143"/>
      <c r="I412" s="213"/>
      <c r="J412" s="145"/>
      <c r="K412" s="213"/>
      <c r="L412" s="145"/>
      <c r="M412" s="145"/>
      <c r="N412" s="115"/>
      <c r="O412" s="115"/>
      <c r="P412" s="116"/>
      <c r="Q412" s="116"/>
      <c r="R412" s="117"/>
    </row>
    <row r="413" spans="1:18" s="148" customFormat="1" ht="18" customHeight="1" x14ac:dyDescent="0.25">
      <c r="A413" s="143"/>
      <c r="B413" s="157"/>
      <c r="C413" s="140"/>
      <c r="D413" s="140"/>
      <c r="E413" s="156"/>
      <c r="F413" s="157"/>
      <c r="G413" s="186"/>
      <c r="H413" s="143"/>
      <c r="I413" s="213"/>
      <c r="J413" s="218"/>
      <c r="K413" s="213"/>
      <c r="L413" s="218"/>
      <c r="M413" s="218"/>
      <c r="N413" s="115"/>
      <c r="O413" s="115"/>
      <c r="P413" s="116"/>
      <c r="Q413" s="116"/>
      <c r="R413" s="117"/>
    </row>
    <row r="414" spans="1:18" s="148" customFormat="1" ht="18" customHeight="1" x14ac:dyDescent="0.25">
      <c r="A414" s="143"/>
      <c r="B414" s="157"/>
      <c r="C414" s="140"/>
      <c r="D414" s="140"/>
      <c r="E414" s="156"/>
      <c r="F414" s="157"/>
      <c r="G414" s="142"/>
      <c r="H414" s="143"/>
      <c r="I414" s="213"/>
      <c r="J414" s="145"/>
      <c r="K414" s="213"/>
      <c r="L414" s="145"/>
      <c r="M414" s="145"/>
      <c r="N414" s="115"/>
      <c r="O414" s="115"/>
      <c r="P414" s="116"/>
      <c r="Q414" s="116"/>
      <c r="R414" s="117"/>
    </row>
    <row r="415" spans="1:18" s="170" customFormat="1" ht="18" customHeight="1" thickBot="1" x14ac:dyDescent="0.3">
      <c r="A415" s="164"/>
      <c r="B415" s="161"/>
      <c r="C415" s="160"/>
      <c r="D415" s="160"/>
      <c r="E415" s="159"/>
      <c r="F415" s="161"/>
      <c r="G415" s="162"/>
      <c r="H415" s="163" t="s">
        <v>15</v>
      </c>
      <c r="I415" s="217"/>
      <c r="J415" s="165">
        <f>SUM(J377:J414)</f>
        <v>1382580</v>
      </c>
      <c r="K415" s="217"/>
      <c r="L415" s="165">
        <f>SUM(L377:L414)</f>
        <v>1423548</v>
      </c>
      <c r="M415" s="165">
        <f>SUM(M377:M414)</f>
        <v>40968</v>
      </c>
      <c r="N415" s="167"/>
      <c r="O415" s="167"/>
      <c r="P415" s="168"/>
      <c r="Q415" s="168"/>
      <c r="R415" s="169"/>
    </row>
    <row r="416" spans="1:18" s="148" customFormat="1" ht="18" customHeight="1" thickTop="1" x14ac:dyDescent="0.25">
      <c r="A416" s="157"/>
      <c r="B416" s="157"/>
      <c r="C416" s="140"/>
      <c r="D416" s="140"/>
      <c r="E416" s="157"/>
      <c r="F416" s="157"/>
      <c r="G416" s="157"/>
      <c r="H416" s="157"/>
      <c r="I416" s="157"/>
      <c r="J416" s="171"/>
      <c r="K416" s="174"/>
      <c r="L416" s="173"/>
      <c r="M416" s="173"/>
      <c r="N416" s="115"/>
      <c r="O416" s="115"/>
      <c r="P416" s="116"/>
      <c r="Q416" s="116"/>
      <c r="R416" s="117"/>
    </row>
    <row r="417" spans="1:22" s="148" customFormat="1" ht="18" customHeight="1" x14ac:dyDescent="0.25">
      <c r="A417" s="157"/>
      <c r="B417" s="157"/>
      <c r="C417" s="140"/>
      <c r="D417" s="140"/>
      <c r="E417" s="157"/>
      <c r="F417" s="157"/>
      <c r="G417" s="157"/>
      <c r="H417" s="157"/>
      <c r="I417" s="157"/>
      <c r="J417" s="157"/>
      <c r="K417" s="174"/>
      <c r="L417" s="172"/>
      <c r="M417" s="172"/>
      <c r="N417" s="115"/>
      <c r="O417" s="115"/>
      <c r="P417" s="116"/>
      <c r="Q417" s="116"/>
      <c r="R417" s="117"/>
    </row>
    <row r="418" spans="1:22" s="148" customFormat="1" ht="18" customHeight="1" x14ac:dyDescent="0.25">
      <c r="A418" s="157"/>
      <c r="B418" s="157"/>
      <c r="C418" s="140"/>
      <c r="D418" s="140"/>
      <c r="E418" s="157"/>
      <c r="F418" s="157"/>
      <c r="G418" s="157"/>
      <c r="H418" s="157"/>
      <c r="I418" s="157"/>
      <c r="J418" s="157"/>
      <c r="K418" s="174"/>
      <c r="L418" s="172"/>
      <c r="M418" s="172"/>
      <c r="N418" s="115"/>
      <c r="O418" s="115"/>
      <c r="P418" s="116"/>
      <c r="Q418" s="116"/>
      <c r="R418" s="117"/>
    </row>
    <row r="419" spans="1:22" s="148" customFormat="1" ht="18" customHeight="1" x14ac:dyDescent="0.25">
      <c r="A419" s="175" t="s">
        <v>636</v>
      </c>
      <c r="B419" s="175"/>
      <c r="C419" s="932"/>
      <c r="D419" s="932"/>
      <c r="E419" s="176"/>
      <c r="F419" s="176"/>
      <c r="G419" s="176"/>
      <c r="H419" s="175" t="s">
        <v>637</v>
      </c>
      <c r="I419" s="176"/>
      <c r="K419" s="175" t="s">
        <v>264</v>
      </c>
      <c r="L419" s="177"/>
      <c r="M419" s="177"/>
      <c r="N419" s="115"/>
      <c r="O419" s="115"/>
      <c r="P419" s="116"/>
      <c r="Q419" s="116"/>
      <c r="R419" s="117"/>
    </row>
    <row r="420" spans="1:22" s="148" customFormat="1" ht="18" customHeight="1" x14ac:dyDescent="0.25">
      <c r="A420" s="176"/>
      <c r="B420" s="176"/>
      <c r="C420" s="933"/>
      <c r="D420" s="933"/>
      <c r="E420" s="176"/>
      <c r="F420" s="176"/>
      <c r="G420" s="176"/>
      <c r="H420" s="176"/>
      <c r="I420" s="176"/>
      <c r="J420" s="176"/>
      <c r="K420" s="178"/>
      <c r="L420" s="177"/>
      <c r="M420" s="177"/>
      <c r="N420" s="115"/>
      <c r="O420" s="115"/>
      <c r="P420" s="116"/>
      <c r="Q420" s="116"/>
      <c r="R420" s="117"/>
    </row>
    <row r="421" spans="1:22" s="148" customFormat="1" ht="18" customHeight="1" x14ac:dyDescent="0.25">
      <c r="A421" s="1131" t="s">
        <v>66</v>
      </c>
      <c r="B421" s="1131"/>
      <c r="C421" s="1131"/>
      <c r="D421" s="1131"/>
      <c r="E421" s="1131"/>
      <c r="F421" s="1131"/>
      <c r="G421" s="176"/>
      <c r="H421" s="1131" t="s">
        <v>17</v>
      </c>
      <c r="I421" s="1131"/>
      <c r="J421" s="176"/>
      <c r="K421" s="1131" t="s">
        <v>1493</v>
      </c>
      <c r="L421" s="1131"/>
      <c r="M421" s="1131"/>
      <c r="N421" s="115"/>
      <c r="O421" s="115"/>
      <c r="P421" s="116"/>
      <c r="Q421" s="116"/>
      <c r="R421" s="117"/>
    </row>
    <row r="422" spans="1:22" s="148" customFormat="1" ht="18" customHeight="1" x14ac:dyDescent="0.25">
      <c r="A422" s="1132" t="s">
        <v>437</v>
      </c>
      <c r="B422" s="1132"/>
      <c r="C422" s="1132"/>
      <c r="D422" s="1132"/>
      <c r="E422" s="1132"/>
      <c r="F422" s="1132"/>
      <c r="G422" s="179"/>
      <c r="H422" s="1132" t="s">
        <v>18</v>
      </c>
      <c r="I422" s="1132"/>
      <c r="J422" s="932"/>
      <c r="K422" s="1132" t="s">
        <v>14</v>
      </c>
      <c r="L422" s="1132"/>
      <c r="M422" s="1132"/>
      <c r="N422" s="115"/>
      <c r="O422" s="115"/>
      <c r="P422" s="116"/>
      <c r="Q422" s="116"/>
      <c r="R422" s="117"/>
    </row>
    <row r="423" spans="1:22" ht="18" customHeight="1" x14ac:dyDescent="0.2">
      <c r="A423" s="111"/>
      <c r="B423" s="111"/>
      <c r="C423" s="930"/>
      <c r="D423" s="930"/>
      <c r="E423" s="1121"/>
      <c r="F423" s="1121"/>
      <c r="G423" s="1121"/>
      <c r="H423" s="930"/>
      <c r="I423" s="930"/>
      <c r="J423" s="930"/>
      <c r="K423" s="1121"/>
      <c r="L423" s="1121"/>
      <c r="M423" s="1121"/>
    </row>
    <row r="424" spans="1:22" ht="18" customHeight="1" x14ac:dyDescent="0.2">
      <c r="A424" s="111"/>
      <c r="B424" s="111"/>
      <c r="C424" s="930"/>
      <c r="D424" s="930"/>
      <c r="E424" s="111"/>
      <c r="F424" s="111"/>
      <c r="G424" s="111"/>
      <c r="H424" s="111"/>
      <c r="I424" s="111"/>
      <c r="J424" s="111"/>
      <c r="K424" s="112"/>
      <c r="M424" s="113"/>
    </row>
    <row r="425" spans="1:22" ht="18" customHeight="1" x14ac:dyDescent="0.2">
      <c r="A425" s="111"/>
      <c r="B425" s="111"/>
      <c r="C425" s="930"/>
      <c r="D425" s="930"/>
      <c r="E425" s="111"/>
      <c r="F425" s="111"/>
      <c r="G425" s="111"/>
      <c r="H425" s="111"/>
      <c r="I425" s="111"/>
      <c r="J425" s="111"/>
      <c r="K425" s="112"/>
      <c r="M425" s="113"/>
    </row>
    <row r="426" spans="1:22" ht="18" customHeight="1" x14ac:dyDescent="0.2">
      <c r="A426" s="111"/>
      <c r="B426" s="111"/>
      <c r="C426" s="930"/>
      <c r="D426" s="930"/>
      <c r="E426" s="111"/>
      <c r="F426" s="111"/>
      <c r="G426" s="111"/>
      <c r="H426" s="111"/>
      <c r="I426" s="111"/>
      <c r="J426" s="111"/>
      <c r="K426" s="112"/>
      <c r="M426" s="113"/>
    </row>
    <row r="427" spans="1:22" ht="18" customHeight="1" x14ac:dyDescent="0.2">
      <c r="A427" s="111"/>
      <c r="B427" s="111"/>
      <c r="C427" s="930"/>
      <c r="D427" s="930"/>
      <c r="E427" s="111"/>
      <c r="F427" s="111"/>
      <c r="G427" s="111"/>
      <c r="H427" s="111"/>
      <c r="I427" s="111"/>
      <c r="J427" s="111"/>
      <c r="K427" s="112"/>
      <c r="M427" s="113"/>
    </row>
    <row r="428" spans="1:22" ht="18" customHeight="1" x14ac:dyDescent="0.2">
      <c r="A428" s="111"/>
      <c r="B428" s="111"/>
      <c r="C428" s="930"/>
      <c r="D428" s="930"/>
      <c r="E428" s="111"/>
      <c r="F428" s="111"/>
      <c r="G428" s="111"/>
      <c r="H428" s="111"/>
      <c r="I428" s="111"/>
      <c r="J428" s="111"/>
      <c r="K428" s="112"/>
      <c r="M428" s="113"/>
    </row>
    <row r="429" spans="1:22" s="115" customFormat="1" ht="18" customHeight="1" x14ac:dyDescent="0.2">
      <c r="A429" s="111"/>
      <c r="B429" s="111"/>
      <c r="C429" s="930"/>
      <c r="D429" s="930"/>
      <c r="E429" s="111"/>
      <c r="F429" s="111"/>
      <c r="G429" s="111"/>
      <c r="H429" s="111"/>
      <c r="I429" s="111"/>
      <c r="J429" s="111"/>
      <c r="K429" s="112"/>
      <c r="L429" s="113"/>
      <c r="M429" s="113"/>
      <c r="P429" s="116"/>
      <c r="Q429" s="116"/>
      <c r="R429" s="117"/>
      <c r="S429" s="118"/>
      <c r="T429" s="118"/>
      <c r="U429" s="118"/>
      <c r="V429" s="118"/>
    </row>
    <row r="430" spans="1:22" s="115" customFormat="1" ht="18" customHeight="1" x14ac:dyDescent="0.2">
      <c r="A430" s="111"/>
      <c r="B430" s="111"/>
      <c r="C430" s="930"/>
      <c r="D430" s="930"/>
      <c r="E430" s="111"/>
      <c r="F430" s="111"/>
      <c r="G430" s="111"/>
      <c r="H430" s="111"/>
      <c r="I430" s="111"/>
      <c r="J430" s="111"/>
      <c r="K430" s="112"/>
      <c r="L430" s="113"/>
      <c r="M430" s="113"/>
      <c r="P430" s="116"/>
      <c r="Q430" s="116"/>
      <c r="R430" s="117"/>
      <c r="S430" s="118"/>
      <c r="T430" s="118"/>
      <c r="U430" s="118"/>
      <c r="V430" s="118"/>
    </row>
    <row r="431" spans="1:22" s="115" customFormat="1" ht="18" customHeight="1" x14ac:dyDescent="0.2">
      <c r="A431" s="111"/>
      <c r="B431" s="111"/>
      <c r="C431" s="930"/>
      <c r="D431" s="930"/>
      <c r="E431" s="111"/>
      <c r="F431" s="111"/>
      <c r="G431" s="111"/>
      <c r="H431" s="111"/>
      <c r="I431" s="111"/>
      <c r="J431" s="111"/>
      <c r="K431" s="112"/>
      <c r="L431" s="113"/>
      <c r="M431" s="113"/>
      <c r="P431" s="116"/>
      <c r="Q431" s="116"/>
      <c r="R431" s="117"/>
      <c r="S431" s="118"/>
      <c r="T431" s="118"/>
      <c r="U431" s="118"/>
      <c r="V431" s="118"/>
    </row>
    <row r="432" spans="1:22" s="115" customFormat="1" ht="18" customHeight="1" x14ac:dyDescent="0.2">
      <c r="A432" s="111"/>
      <c r="B432" s="111"/>
      <c r="C432" s="930"/>
      <c r="D432" s="930"/>
      <c r="E432" s="111"/>
      <c r="F432" s="111"/>
      <c r="G432" s="111"/>
      <c r="H432" s="111"/>
      <c r="I432" s="111"/>
      <c r="J432" s="111"/>
      <c r="K432" s="112"/>
      <c r="L432" s="113"/>
      <c r="M432" s="113"/>
      <c r="P432" s="116"/>
      <c r="Q432" s="116"/>
      <c r="R432" s="117"/>
      <c r="S432" s="118"/>
      <c r="T432" s="118"/>
      <c r="U432" s="118"/>
      <c r="V432" s="118"/>
    </row>
    <row r="433" spans="1:22" s="115" customFormat="1" ht="20.100000000000001" customHeight="1" x14ac:dyDescent="0.35">
      <c r="A433" s="1142" t="s">
        <v>1005</v>
      </c>
      <c r="B433" s="1142"/>
      <c r="C433" s="1142"/>
      <c r="D433" s="1142"/>
      <c r="E433" s="1142"/>
      <c r="F433" s="1142"/>
      <c r="G433" s="1142"/>
      <c r="H433" s="1142"/>
      <c r="I433" s="1142"/>
      <c r="J433" s="1142"/>
      <c r="K433" s="1142"/>
      <c r="L433" s="1142"/>
      <c r="M433" s="1142"/>
      <c r="P433" s="116"/>
      <c r="Q433" s="116"/>
      <c r="R433" s="117"/>
      <c r="S433" s="118"/>
      <c r="T433" s="118"/>
      <c r="U433" s="118"/>
      <c r="V433" s="118"/>
    </row>
    <row r="434" spans="1:22" s="115" customFormat="1" ht="18" customHeight="1" x14ac:dyDescent="0.2">
      <c r="A434" s="110"/>
      <c r="B434" s="110"/>
      <c r="C434" s="937"/>
      <c r="D434" s="937"/>
      <c r="E434" s="111"/>
      <c r="F434" s="111"/>
      <c r="G434" s="111"/>
      <c r="H434" s="111"/>
      <c r="I434" s="111"/>
      <c r="J434" s="111"/>
      <c r="K434" s="112"/>
      <c r="L434" s="113"/>
      <c r="M434" s="114"/>
      <c r="P434" s="116"/>
      <c r="Q434" s="116"/>
      <c r="R434" s="117"/>
      <c r="S434" s="118"/>
      <c r="T434" s="118"/>
      <c r="U434" s="118"/>
      <c r="V434" s="118"/>
    </row>
    <row r="435" spans="1:22" s="115" customFormat="1" ht="18" customHeight="1" x14ac:dyDescent="0.3">
      <c r="A435" s="1119" t="s">
        <v>1549</v>
      </c>
      <c r="B435" s="1119"/>
      <c r="C435" s="1119"/>
      <c r="D435" s="1119"/>
      <c r="E435" s="1119"/>
      <c r="F435" s="1119"/>
      <c r="G435" s="1119"/>
      <c r="H435" s="1119"/>
      <c r="I435" s="1119"/>
      <c r="J435" s="1119"/>
      <c r="K435" s="1119"/>
      <c r="L435" s="1119"/>
      <c r="M435" s="1119"/>
      <c r="P435" s="116"/>
      <c r="Q435" s="116"/>
      <c r="R435" s="117"/>
      <c r="S435" s="118"/>
      <c r="T435" s="118"/>
      <c r="U435" s="118"/>
      <c r="V435" s="118"/>
    </row>
    <row r="436" spans="1:22" s="115" customFormat="1" ht="18" customHeight="1" x14ac:dyDescent="0.3">
      <c r="A436" s="1120" t="s">
        <v>364</v>
      </c>
      <c r="B436" s="1120"/>
      <c r="C436" s="1120"/>
      <c r="D436" s="1120"/>
      <c r="E436" s="1120"/>
      <c r="F436" s="1120"/>
      <c r="G436" s="1120"/>
      <c r="H436" s="1120"/>
      <c r="I436" s="1120"/>
      <c r="J436" s="1120"/>
      <c r="K436" s="1120"/>
      <c r="L436" s="1120"/>
      <c r="M436" s="1120"/>
      <c r="P436" s="116"/>
      <c r="Q436" s="116"/>
      <c r="R436" s="117"/>
      <c r="S436" s="118"/>
      <c r="T436" s="118"/>
      <c r="U436" s="118"/>
      <c r="V436" s="118"/>
    </row>
    <row r="437" spans="1:22" s="115" customFormat="1" ht="18" customHeight="1" x14ac:dyDescent="0.2">
      <c r="A437" s="1121"/>
      <c r="B437" s="1121"/>
      <c r="C437" s="1121"/>
      <c r="D437" s="1121"/>
      <c r="E437" s="1121"/>
      <c r="F437" s="1121"/>
      <c r="G437" s="1121"/>
      <c r="H437" s="1121"/>
      <c r="I437" s="1121"/>
      <c r="J437" s="1121"/>
      <c r="K437" s="1121"/>
      <c r="L437" s="1121"/>
      <c r="M437" s="1121"/>
      <c r="P437" s="116"/>
      <c r="Q437" s="116"/>
      <c r="R437" s="117"/>
      <c r="S437" s="118"/>
      <c r="T437" s="118"/>
      <c r="U437" s="118"/>
      <c r="V437" s="118"/>
    </row>
    <row r="438" spans="1:22" s="115" customFormat="1" ht="18" customHeight="1" x14ac:dyDescent="0.2">
      <c r="A438" s="930"/>
      <c r="B438" s="930"/>
      <c r="C438" s="930"/>
      <c r="D438" s="930"/>
      <c r="E438" s="930"/>
      <c r="F438" s="930"/>
      <c r="G438" s="930"/>
      <c r="H438" s="930"/>
      <c r="I438" s="930"/>
      <c r="J438" s="930"/>
      <c r="K438" s="930"/>
      <c r="L438" s="930"/>
      <c r="M438" s="930"/>
      <c r="P438" s="116"/>
      <c r="Q438" s="116"/>
      <c r="R438" s="117"/>
      <c r="S438" s="118"/>
      <c r="T438" s="118"/>
      <c r="U438" s="118"/>
      <c r="V438" s="118"/>
    </row>
    <row r="439" spans="1:22" s="115" customFormat="1" ht="18" customHeight="1" x14ac:dyDescent="0.2">
      <c r="A439" s="111" t="s">
        <v>453</v>
      </c>
      <c r="B439" s="111"/>
      <c r="C439" s="111" t="s">
        <v>455</v>
      </c>
      <c r="D439" s="111" t="s">
        <v>320</v>
      </c>
      <c r="E439" s="111"/>
      <c r="F439" s="111"/>
      <c r="G439" s="111"/>
      <c r="H439" s="111"/>
      <c r="I439" s="930"/>
      <c r="J439" s="930"/>
      <c r="K439" s="930"/>
      <c r="L439" s="930"/>
      <c r="M439" s="930"/>
      <c r="P439" s="116"/>
      <c r="Q439" s="116"/>
      <c r="R439" s="117"/>
      <c r="S439" s="118"/>
      <c r="T439" s="118"/>
      <c r="U439" s="118"/>
      <c r="V439" s="118"/>
    </row>
    <row r="440" spans="1:22" s="115" customFormat="1" ht="18" customHeight="1" x14ac:dyDescent="0.25">
      <c r="A440" s="111" t="s">
        <v>465</v>
      </c>
      <c r="B440" s="111"/>
      <c r="C440" s="111" t="s">
        <v>455</v>
      </c>
      <c r="D440" s="111" t="s">
        <v>473</v>
      </c>
      <c r="E440" s="111"/>
      <c r="F440" s="111"/>
      <c r="G440" s="111"/>
      <c r="H440" s="111"/>
      <c r="I440" s="930"/>
      <c r="J440" s="930"/>
      <c r="K440" s="930"/>
      <c r="L440" s="930"/>
      <c r="M440" s="930"/>
      <c r="N440" s="182"/>
      <c r="P440" s="116"/>
      <c r="Q440" s="116"/>
      <c r="R440" s="117"/>
      <c r="S440" s="118"/>
      <c r="T440" s="118"/>
      <c r="U440" s="118"/>
      <c r="V440" s="118"/>
    </row>
    <row r="441" spans="1:22" s="115" customFormat="1" ht="18" customHeight="1" thickBot="1" x14ac:dyDescent="0.3">
      <c r="A441" s="111" t="s">
        <v>472</v>
      </c>
      <c r="B441" s="111"/>
      <c r="C441" s="219" t="s">
        <v>455</v>
      </c>
      <c r="D441" s="111" t="s">
        <v>687</v>
      </c>
      <c r="E441" s="111"/>
      <c r="F441" s="111"/>
      <c r="G441" s="111"/>
      <c r="H441" s="111"/>
      <c r="I441" s="930"/>
      <c r="J441" s="930"/>
      <c r="K441" s="930"/>
      <c r="L441" s="930"/>
      <c r="M441" s="930"/>
      <c r="N441" s="182"/>
      <c r="P441" s="116"/>
      <c r="Q441" s="116"/>
      <c r="R441" s="117"/>
      <c r="S441" s="118"/>
      <c r="T441" s="118"/>
      <c r="U441" s="118"/>
      <c r="V441" s="118"/>
    </row>
    <row r="442" spans="1:22" s="115" customFormat="1" ht="18" customHeight="1" x14ac:dyDescent="0.25">
      <c r="A442" s="1122" t="s">
        <v>642</v>
      </c>
      <c r="B442" s="1123"/>
      <c r="C442" s="1123"/>
      <c r="D442" s="1123"/>
      <c r="E442" s="1124"/>
      <c r="F442" s="1123"/>
      <c r="G442" s="1125"/>
      <c r="H442" s="931"/>
      <c r="I442" s="1126" t="s">
        <v>646</v>
      </c>
      <c r="J442" s="1127"/>
      <c r="K442" s="1126" t="s">
        <v>646</v>
      </c>
      <c r="L442" s="1127"/>
      <c r="M442" s="122"/>
      <c r="N442" s="182"/>
      <c r="P442" s="116"/>
      <c r="Q442" s="116"/>
      <c r="R442" s="117"/>
      <c r="S442" s="118"/>
      <c r="T442" s="118"/>
      <c r="U442" s="118"/>
      <c r="V442" s="118"/>
    </row>
    <row r="443" spans="1:22" s="115" customFormat="1" ht="18" customHeight="1" x14ac:dyDescent="0.2">
      <c r="A443" s="123" t="s">
        <v>643</v>
      </c>
      <c r="B443" s="1133" t="s">
        <v>644</v>
      </c>
      <c r="C443" s="1134"/>
      <c r="D443" s="1135"/>
      <c r="E443" s="1136" t="s">
        <v>45</v>
      </c>
      <c r="F443" s="1137"/>
      <c r="G443" s="1138"/>
      <c r="H443" s="934" t="s">
        <v>46</v>
      </c>
      <c r="I443" s="1136" t="s">
        <v>1492</v>
      </c>
      <c r="J443" s="1138"/>
      <c r="K443" s="1137" t="s">
        <v>1550</v>
      </c>
      <c r="L443" s="1138"/>
      <c r="M443" s="124" t="s">
        <v>47</v>
      </c>
      <c r="P443" s="116"/>
      <c r="Q443" s="116"/>
      <c r="R443" s="117"/>
      <c r="S443" s="118"/>
      <c r="T443" s="118"/>
      <c r="U443" s="118"/>
      <c r="V443" s="118"/>
    </row>
    <row r="444" spans="1:22" ht="18" customHeight="1" x14ac:dyDescent="0.2">
      <c r="A444" s="125"/>
      <c r="B444" s="934"/>
      <c r="C444" s="935"/>
      <c r="D444" s="935"/>
      <c r="E444" s="934"/>
      <c r="F444" s="935"/>
      <c r="G444" s="936"/>
      <c r="H444" s="934" t="s">
        <v>48</v>
      </c>
      <c r="I444" s="1139" t="s">
        <v>1551</v>
      </c>
      <c r="J444" s="1140"/>
      <c r="K444" s="1139"/>
      <c r="L444" s="1140"/>
      <c r="M444" s="124" t="s">
        <v>49</v>
      </c>
    </row>
    <row r="445" spans="1:22" ht="18" customHeight="1" x14ac:dyDescent="0.2">
      <c r="A445" s="125"/>
      <c r="B445" s="934"/>
      <c r="C445" s="935"/>
      <c r="D445" s="935"/>
      <c r="E445" s="934"/>
      <c r="F445" s="935"/>
      <c r="G445" s="126"/>
      <c r="H445" s="127"/>
      <c r="I445" s="128" t="s">
        <v>645</v>
      </c>
      <c r="J445" s="129" t="s">
        <v>50</v>
      </c>
      <c r="K445" s="128" t="s">
        <v>645</v>
      </c>
      <c r="L445" s="129" t="s">
        <v>50</v>
      </c>
      <c r="M445" s="124"/>
    </row>
    <row r="446" spans="1:22" ht="18" customHeight="1" thickBot="1" x14ac:dyDescent="0.25">
      <c r="A446" s="130"/>
      <c r="B446" s="1128"/>
      <c r="C446" s="1129"/>
      <c r="D446" s="1130"/>
      <c r="E446" s="1128"/>
      <c r="F446" s="1129"/>
      <c r="G446" s="1130"/>
      <c r="H446" s="131"/>
      <c r="I446" s="131"/>
      <c r="J446" s="131"/>
      <c r="K446" s="131"/>
      <c r="L446" s="131"/>
      <c r="M446" s="132"/>
    </row>
    <row r="447" spans="1:22" ht="18" customHeight="1" x14ac:dyDescent="0.2">
      <c r="A447" s="183"/>
      <c r="B447" s="119"/>
      <c r="C447" s="119"/>
      <c r="D447" s="220"/>
      <c r="E447" s="119"/>
      <c r="F447" s="119"/>
      <c r="G447" s="134"/>
      <c r="H447" s="135"/>
      <c r="I447" s="184"/>
      <c r="J447" s="137"/>
      <c r="K447" s="184"/>
      <c r="L447" s="137"/>
      <c r="M447" s="137"/>
    </row>
    <row r="448" spans="1:22" s="148" customFormat="1" ht="18" customHeight="1" x14ac:dyDescent="0.25">
      <c r="A448" s="185">
        <v>1</v>
      </c>
      <c r="B448" s="140"/>
      <c r="C448" s="140"/>
      <c r="D448" s="186"/>
      <c r="E448" s="142" t="s">
        <v>80</v>
      </c>
      <c r="F448" s="140"/>
      <c r="G448" s="142"/>
      <c r="H448" s="143" t="s">
        <v>247</v>
      </c>
      <c r="I448" s="187" t="s">
        <v>254</v>
      </c>
      <c r="J448" s="145">
        <f>74693*12</f>
        <v>896316</v>
      </c>
      <c r="K448" s="187" t="s">
        <v>254</v>
      </c>
      <c r="L448" s="145">
        <v>913884</v>
      </c>
      <c r="M448" s="146">
        <f>L448-J448</f>
        <v>17568</v>
      </c>
      <c r="N448" s="115">
        <f>L448-J448</f>
        <v>17568</v>
      </c>
      <c r="O448" s="115">
        <f>N448-M448</f>
        <v>0</v>
      </c>
      <c r="P448" s="116">
        <v>63237</v>
      </c>
      <c r="Q448" s="116">
        <f>P448*12</f>
        <v>758844</v>
      </c>
      <c r="R448" s="147">
        <f>Q448-L448</f>
        <v>-155040</v>
      </c>
    </row>
    <row r="449" spans="1:18" s="148" customFormat="1" ht="18" customHeight="1" x14ac:dyDescent="0.25">
      <c r="A449" s="185"/>
      <c r="B449" s="140"/>
      <c r="C449" s="140"/>
      <c r="D449" s="186"/>
      <c r="E449" s="157" t="s">
        <v>922</v>
      </c>
      <c r="F449" s="140"/>
      <c r="G449" s="142"/>
      <c r="H449" s="143"/>
      <c r="I449" s="187"/>
      <c r="J449" s="145"/>
      <c r="K449" s="187" t="s">
        <v>906</v>
      </c>
      <c r="L449" s="145">
        <v>928800</v>
      </c>
      <c r="M449" s="145">
        <v>6215</v>
      </c>
      <c r="N449" s="115"/>
      <c r="O449" s="115"/>
      <c r="P449" s="116">
        <v>64185</v>
      </c>
      <c r="Q449" s="116">
        <f>P449*12</f>
        <v>770220</v>
      </c>
      <c r="R449" s="147">
        <f>Q449-L449</f>
        <v>-158580</v>
      </c>
    </row>
    <row r="450" spans="1:18" s="148" customFormat="1" ht="18" customHeight="1" x14ac:dyDescent="0.25">
      <c r="A450" s="185"/>
      <c r="B450" s="140"/>
      <c r="C450" s="140"/>
      <c r="D450" s="186"/>
      <c r="E450" s="157"/>
      <c r="F450" s="140"/>
      <c r="G450" s="142"/>
      <c r="H450" s="143"/>
      <c r="I450" s="221"/>
      <c r="J450" s="151"/>
      <c r="K450" s="221"/>
      <c r="L450" s="151">
        <v>44417</v>
      </c>
      <c r="M450" s="145"/>
      <c r="N450" s="115"/>
      <c r="O450" s="115"/>
      <c r="P450" s="116"/>
      <c r="Q450" s="116"/>
      <c r="R450" s="117"/>
    </row>
    <row r="451" spans="1:18" s="148" customFormat="1" ht="18" customHeight="1" x14ac:dyDescent="0.25">
      <c r="A451" s="185"/>
      <c r="B451" s="140"/>
      <c r="C451" s="140"/>
      <c r="D451" s="186"/>
      <c r="E451" s="157"/>
      <c r="F451" s="140"/>
      <c r="G451" s="142"/>
      <c r="H451" s="143"/>
      <c r="I451" s="221"/>
      <c r="J451" s="151"/>
      <c r="K451" s="221"/>
      <c r="L451" s="151"/>
      <c r="M451" s="145"/>
      <c r="N451" s="115"/>
      <c r="O451" s="115"/>
      <c r="P451" s="116"/>
      <c r="Q451" s="116"/>
      <c r="R451" s="117"/>
    </row>
    <row r="452" spans="1:18" s="148" customFormat="1" ht="18" customHeight="1" x14ac:dyDescent="0.25">
      <c r="A452" s="185"/>
      <c r="B452" s="140"/>
      <c r="C452" s="140"/>
      <c r="D452" s="186"/>
      <c r="E452" s="157"/>
      <c r="F452" s="140"/>
      <c r="G452" s="142"/>
      <c r="H452" s="143"/>
      <c r="I452" s="221"/>
      <c r="J452" s="151"/>
      <c r="K452" s="221"/>
      <c r="L452" s="151"/>
      <c r="M452" s="145"/>
      <c r="N452" s="115"/>
      <c r="O452" s="115"/>
      <c r="P452" s="116"/>
      <c r="Q452" s="116"/>
      <c r="R452" s="117"/>
    </row>
    <row r="453" spans="1:18" s="148" customFormat="1" ht="18" customHeight="1" x14ac:dyDescent="0.25">
      <c r="A453" s="185"/>
      <c r="B453" s="140"/>
      <c r="C453" s="140"/>
      <c r="D453" s="186"/>
      <c r="E453" s="157"/>
      <c r="F453" s="140"/>
      <c r="G453" s="142"/>
      <c r="H453" s="143"/>
      <c r="I453" s="221"/>
      <c r="J453" s="145"/>
      <c r="K453" s="221"/>
      <c r="L453" s="145"/>
      <c r="M453" s="145"/>
      <c r="N453" s="115"/>
      <c r="O453" s="115"/>
      <c r="P453" s="116"/>
      <c r="Q453" s="116"/>
      <c r="R453" s="117"/>
    </row>
    <row r="454" spans="1:18" s="148" customFormat="1" ht="18" customHeight="1" x14ac:dyDescent="0.25">
      <c r="A454" s="185">
        <v>2</v>
      </c>
      <c r="B454" s="140"/>
      <c r="C454" s="140"/>
      <c r="D454" s="186"/>
      <c r="E454" s="157" t="s">
        <v>90</v>
      </c>
      <c r="F454" s="140"/>
      <c r="G454" s="142"/>
      <c r="H454" s="143" t="s">
        <v>12</v>
      </c>
      <c r="I454" s="187" t="s">
        <v>92</v>
      </c>
      <c r="J454" s="145">
        <f>15847*12</f>
        <v>190164</v>
      </c>
      <c r="K454" s="187" t="s">
        <v>92</v>
      </c>
      <c r="L454" s="145">
        <v>198264</v>
      </c>
      <c r="M454" s="146">
        <f>L454-J454</f>
        <v>8100</v>
      </c>
      <c r="N454" s="115">
        <f>L454-J454</f>
        <v>8100</v>
      </c>
      <c r="O454" s="115">
        <f>N454-M454</f>
        <v>0</v>
      </c>
      <c r="P454" s="116">
        <v>14764</v>
      </c>
      <c r="Q454" s="116">
        <f>P454*12</f>
        <v>177168</v>
      </c>
      <c r="R454" s="147">
        <f>Q454-L454</f>
        <v>-21096</v>
      </c>
    </row>
    <row r="455" spans="1:18" s="148" customFormat="1" ht="18" customHeight="1" x14ac:dyDescent="0.25">
      <c r="A455" s="185"/>
      <c r="B455" s="140"/>
      <c r="C455" s="140"/>
      <c r="D455" s="186"/>
      <c r="E455" s="157"/>
      <c r="F455" s="140"/>
      <c r="G455" s="142"/>
      <c r="H455" s="143"/>
      <c r="I455" s="221"/>
      <c r="J455" s="145"/>
      <c r="K455" s="221"/>
      <c r="L455" s="145"/>
      <c r="M455" s="146"/>
      <c r="N455" s="115"/>
      <c r="O455" s="115"/>
      <c r="P455" s="116"/>
      <c r="Q455" s="116"/>
      <c r="R455" s="117"/>
    </row>
    <row r="456" spans="1:18" s="148" customFormat="1" ht="18" customHeight="1" x14ac:dyDescent="0.25">
      <c r="A456" s="185"/>
      <c r="B456" s="140"/>
      <c r="C456" s="140"/>
      <c r="D456" s="186"/>
      <c r="E456" s="157"/>
      <c r="F456" s="140"/>
      <c r="G456" s="142"/>
      <c r="H456" s="143"/>
      <c r="I456" s="158"/>
      <c r="J456" s="145"/>
      <c r="K456" s="158"/>
      <c r="L456" s="145"/>
      <c r="M456" s="146"/>
      <c r="N456" s="115"/>
      <c r="O456" s="115"/>
      <c r="P456" s="116"/>
      <c r="Q456" s="116"/>
      <c r="R456" s="117"/>
    </row>
    <row r="457" spans="1:18" s="148" customFormat="1" ht="18" customHeight="1" x14ac:dyDescent="0.25">
      <c r="A457" s="185">
        <v>3</v>
      </c>
      <c r="B457" s="140"/>
      <c r="C457" s="140"/>
      <c r="D457" s="186"/>
      <c r="E457" s="157" t="s">
        <v>78</v>
      </c>
      <c r="F457" s="140"/>
      <c r="G457" s="142"/>
      <c r="H457" s="222" t="s">
        <v>958</v>
      </c>
      <c r="I457" s="197" t="s">
        <v>446</v>
      </c>
      <c r="J457" s="145">
        <f>13297*12</f>
        <v>159564</v>
      </c>
      <c r="K457" s="197" t="s">
        <v>249</v>
      </c>
      <c r="L457" s="145">
        <v>165240</v>
      </c>
      <c r="M457" s="146">
        <f>L457-J457</f>
        <v>5676</v>
      </c>
      <c r="N457" s="115">
        <f>L457-J457</f>
        <v>5676</v>
      </c>
      <c r="O457" s="115">
        <f>N457-M457</f>
        <v>0</v>
      </c>
      <c r="P457" s="116">
        <v>12189</v>
      </c>
      <c r="Q457" s="116">
        <f>P457*12</f>
        <v>146268</v>
      </c>
      <c r="R457" s="147">
        <f>Q457-L457</f>
        <v>-18972</v>
      </c>
    </row>
    <row r="458" spans="1:18" s="148" customFormat="1" ht="18" customHeight="1" x14ac:dyDescent="0.25">
      <c r="A458" s="185"/>
      <c r="B458" s="140"/>
      <c r="C458" s="140"/>
      <c r="D458" s="186"/>
      <c r="E458" s="157"/>
      <c r="F458" s="140"/>
      <c r="G458" s="142"/>
      <c r="H458" s="143"/>
      <c r="I458" s="197"/>
      <c r="J458" s="151"/>
      <c r="K458" s="197"/>
      <c r="L458" s="151"/>
      <c r="M458" s="146"/>
      <c r="N458" s="115"/>
      <c r="O458" s="115"/>
      <c r="P458" s="116"/>
      <c r="Q458" s="116"/>
      <c r="R458" s="147"/>
    </row>
    <row r="459" spans="1:18" s="148" customFormat="1" ht="18" customHeight="1" x14ac:dyDescent="0.25">
      <c r="A459" s="185"/>
      <c r="B459" s="140"/>
      <c r="C459" s="140"/>
      <c r="D459" s="186"/>
      <c r="E459" s="157"/>
      <c r="F459" s="140"/>
      <c r="G459" s="142"/>
      <c r="H459" s="143"/>
      <c r="I459" s="197"/>
      <c r="J459" s="151"/>
      <c r="K459" s="197"/>
      <c r="L459" s="151"/>
      <c r="M459" s="146"/>
      <c r="N459" s="115"/>
      <c r="O459" s="115"/>
      <c r="P459" s="116"/>
      <c r="Q459" s="116"/>
      <c r="R459" s="117"/>
    </row>
    <row r="460" spans="1:18" s="148" customFormat="1" ht="18" customHeight="1" x14ac:dyDescent="0.25">
      <c r="A460" s="185"/>
      <c r="B460" s="140"/>
      <c r="C460" s="140"/>
      <c r="D460" s="186"/>
      <c r="E460" s="157"/>
      <c r="F460" s="140"/>
      <c r="G460" s="142"/>
      <c r="H460" s="143"/>
      <c r="I460" s="197"/>
      <c r="J460" s="145"/>
      <c r="K460" s="197"/>
      <c r="L460" s="145"/>
      <c r="M460" s="146"/>
      <c r="N460" s="115"/>
      <c r="O460" s="115"/>
      <c r="P460" s="116"/>
      <c r="Q460" s="116"/>
      <c r="R460" s="117"/>
    </row>
    <row r="461" spans="1:18" s="148" customFormat="1" ht="18" customHeight="1" x14ac:dyDescent="0.25">
      <c r="A461" s="223">
        <v>4</v>
      </c>
      <c r="B461" s="224"/>
      <c r="C461" s="224"/>
      <c r="D461" s="225"/>
      <c r="E461" s="226" t="s">
        <v>55</v>
      </c>
      <c r="F461" s="224"/>
      <c r="G461" s="227"/>
      <c r="H461" s="143" t="s">
        <v>1660</v>
      </c>
      <c r="I461" s="228" t="s">
        <v>112</v>
      </c>
      <c r="J461" s="229">
        <f>11827*12</f>
        <v>141924</v>
      </c>
      <c r="K461" s="228" t="s">
        <v>57</v>
      </c>
      <c r="L461" s="229">
        <v>146880</v>
      </c>
      <c r="M461" s="146">
        <f>L461-J461</f>
        <v>4956</v>
      </c>
      <c r="N461" s="115">
        <f>L461-J461</f>
        <v>4956</v>
      </c>
      <c r="O461" s="115">
        <f>N461-M461</f>
        <v>0</v>
      </c>
      <c r="P461" s="116">
        <v>10773</v>
      </c>
      <c r="Q461" s="116">
        <f>P461*12</f>
        <v>129276</v>
      </c>
      <c r="R461" s="147">
        <f>Q461-L461</f>
        <v>-17604</v>
      </c>
    </row>
    <row r="462" spans="1:18" s="148" customFormat="1" ht="18" customHeight="1" x14ac:dyDescent="0.25">
      <c r="A462" s="185"/>
      <c r="B462" s="140"/>
      <c r="C462" s="140"/>
      <c r="D462" s="140"/>
      <c r="E462" s="139"/>
      <c r="F462" s="140"/>
      <c r="G462" s="142"/>
      <c r="H462" s="143"/>
      <c r="I462" s="228"/>
      <c r="J462" s="151"/>
      <c r="K462" s="228"/>
      <c r="L462" s="151"/>
      <c r="M462" s="146"/>
      <c r="N462" s="115"/>
      <c r="O462" s="115"/>
      <c r="P462" s="116"/>
      <c r="Q462" s="116"/>
      <c r="R462" s="147"/>
    </row>
    <row r="463" spans="1:18" s="148" customFormat="1" ht="18" customHeight="1" x14ac:dyDescent="0.25">
      <c r="A463" s="185"/>
      <c r="B463" s="140"/>
      <c r="C463" s="140"/>
      <c r="D463" s="140"/>
      <c r="E463" s="139"/>
      <c r="F463" s="140"/>
      <c r="G463" s="142"/>
      <c r="H463" s="143"/>
      <c r="I463" s="228"/>
      <c r="J463" s="151"/>
      <c r="K463" s="228"/>
      <c r="L463" s="151"/>
      <c r="M463" s="146"/>
      <c r="N463" s="115"/>
      <c r="O463" s="115"/>
      <c r="P463" s="116"/>
      <c r="Q463" s="116"/>
      <c r="R463" s="147"/>
    </row>
    <row r="464" spans="1:18" s="148" customFormat="1" ht="18" customHeight="1" x14ac:dyDescent="0.25">
      <c r="A464" s="185"/>
      <c r="B464" s="140"/>
      <c r="C464" s="140"/>
      <c r="D464" s="140"/>
      <c r="E464" s="139"/>
      <c r="F464" s="140"/>
      <c r="G464" s="142"/>
      <c r="H464" s="143"/>
      <c r="I464" s="144"/>
      <c r="J464" s="230"/>
      <c r="K464" s="144"/>
      <c r="L464" s="230"/>
      <c r="M464" s="145"/>
      <c r="N464" s="115"/>
      <c r="O464" s="115"/>
      <c r="P464" s="116"/>
      <c r="Q464" s="116"/>
      <c r="R464" s="117"/>
    </row>
    <row r="465" spans="1:18" s="148" customFormat="1" ht="18" customHeight="1" x14ac:dyDescent="0.25">
      <c r="A465" s="185">
        <v>5</v>
      </c>
      <c r="B465" s="140"/>
      <c r="C465" s="140"/>
      <c r="D465" s="140"/>
      <c r="E465" s="139" t="s">
        <v>993</v>
      </c>
      <c r="F465" s="140"/>
      <c r="G465" s="142"/>
      <c r="H465" s="143" t="s">
        <v>1637</v>
      </c>
      <c r="I465" s="144" t="s">
        <v>263</v>
      </c>
      <c r="J465" s="145">
        <f>20821*12</f>
        <v>249852</v>
      </c>
      <c r="K465" s="144" t="s">
        <v>263</v>
      </c>
      <c r="L465" s="145">
        <v>265728</v>
      </c>
      <c r="M465" s="146">
        <f>L465-J465</f>
        <v>15876</v>
      </c>
      <c r="N465" s="115">
        <f>L465-J465</f>
        <v>15876</v>
      </c>
      <c r="O465" s="115"/>
      <c r="P465" s="116"/>
      <c r="Q465" s="116"/>
      <c r="R465" s="147"/>
    </row>
    <row r="466" spans="1:18" s="148" customFormat="1" ht="18" customHeight="1" x14ac:dyDescent="0.25">
      <c r="A466" s="185"/>
      <c r="B466" s="140"/>
      <c r="C466" s="140"/>
      <c r="D466" s="140"/>
      <c r="E466" s="139"/>
      <c r="F466" s="140"/>
      <c r="G466" s="142"/>
      <c r="H466" s="143"/>
      <c r="I466" s="144"/>
      <c r="J466" s="145"/>
      <c r="K466" s="144"/>
      <c r="L466" s="145"/>
      <c r="M466" s="145"/>
      <c r="N466" s="115"/>
      <c r="O466" s="115"/>
      <c r="P466" s="116"/>
      <c r="Q466" s="116"/>
      <c r="R466" s="117"/>
    </row>
    <row r="467" spans="1:18" s="148" customFormat="1" ht="18" customHeight="1" x14ac:dyDescent="0.25">
      <c r="A467" s="185"/>
      <c r="B467" s="140"/>
      <c r="C467" s="140"/>
      <c r="D467" s="140"/>
      <c r="E467" s="139"/>
      <c r="F467" s="140"/>
      <c r="G467" s="142"/>
      <c r="H467" s="143"/>
      <c r="I467" s="144"/>
      <c r="J467" s="145"/>
      <c r="K467" s="144"/>
      <c r="L467" s="145"/>
      <c r="M467" s="145"/>
      <c r="N467" s="115"/>
      <c r="O467" s="115"/>
      <c r="P467" s="116"/>
      <c r="Q467" s="116"/>
      <c r="R467" s="117"/>
    </row>
    <row r="468" spans="1:18" s="148" customFormat="1" ht="18" customHeight="1" x14ac:dyDescent="0.25">
      <c r="A468" s="185"/>
      <c r="B468" s="140"/>
      <c r="C468" s="140"/>
      <c r="D468" s="140"/>
      <c r="E468" s="139"/>
      <c r="F468" s="140"/>
      <c r="G468" s="142"/>
      <c r="H468" s="143"/>
      <c r="I468" s="144"/>
      <c r="J468" s="145"/>
      <c r="K468" s="144"/>
      <c r="L468" s="145"/>
      <c r="M468" s="145"/>
      <c r="N468" s="115"/>
      <c r="O468" s="115"/>
      <c r="P468" s="116"/>
      <c r="Q468" s="116"/>
      <c r="R468" s="117"/>
    </row>
    <row r="469" spans="1:18" s="148" customFormat="1" ht="18" customHeight="1" x14ac:dyDescent="0.25">
      <c r="A469" s="185"/>
      <c r="B469" s="140"/>
      <c r="C469" s="140"/>
      <c r="D469" s="140"/>
      <c r="E469" s="139"/>
      <c r="F469" s="140"/>
      <c r="G469" s="142"/>
      <c r="H469" s="143"/>
      <c r="I469" s="144"/>
      <c r="J469" s="145"/>
      <c r="K469" s="144"/>
      <c r="L469" s="145"/>
      <c r="M469" s="145"/>
      <c r="N469" s="115"/>
      <c r="O469" s="115"/>
      <c r="P469" s="116"/>
      <c r="Q469" s="116"/>
      <c r="R469" s="117"/>
    </row>
    <row r="470" spans="1:18" s="148" customFormat="1" ht="18" customHeight="1" x14ac:dyDescent="0.25">
      <c r="A470" s="185"/>
      <c r="B470" s="140"/>
      <c r="C470" s="140"/>
      <c r="D470" s="140"/>
      <c r="E470" s="139"/>
      <c r="F470" s="140"/>
      <c r="G470" s="142"/>
      <c r="H470" s="143"/>
      <c r="I470" s="144"/>
      <c r="J470" s="145"/>
      <c r="K470" s="144"/>
      <c r="L470" s="145"/>
      <c r="M470" s="145"/>
      <c r="N470" s="115"/>
      <c r="O470" s="115"/>
      <c r="P470" s="116"/>
      <c r="Q470" s="116"/>
      <c r="R470" s="117"/>
    </row>
    <row r="471" spans="1:18" s="148" customFormat="1" ht="18" customHeight="1" x14ac:dyDescent="0.25">
      <c r="A471" s="185"/>
      <c r="B471" s="140"/>
      <c r="C471" s="140"/>
      <c r="D471" s="140"/>
      <c r="E471" s="139"/>
      <c r="F471" s="140"/>
      <c r="G471" s="142"/>
      <c r="H471" s="143"/>
      <c r="I471" s="144"/>
      <c r="J471" s="145"/>
      <c r="K471" s="144"/>
      <c r="L471" s="145"/>
      <c r="M471" s="145"/>
      <c r="N471" s="115"/>
      <c r="O471" s="115"/>
      <c r="P471" s="116"/>
      <c r="Q471" s="116"/>
      <c r="R471" s="117"/>
    </row>
    <row r="472" spans="1:18" s="148" customFormat="1" ht="18" customHeight="1" x14ac:dyDescent="0.25">
      <c r="A472" s="185"/>
      <c r="B472" s="140"/>
      <c r="C472" s="140"/>
      <c r="D472" s="140"/>
      <c r="E472" s="139"/>
      <c r="F472" s="140"/>
      <c r="G472" s="142"/>
      <c r="H472" s="143"/>
      <c r="I472" s="144"/>
      <c r="J472" s="145"/>
      <c r="K472" s="144"/>
      <c r="L472" s="145"/>
      <c r="M472" s="145"/>
      <c r="N472" s="115"/>
      <c r="O472" s="115"/>
      <c r="P472" s="116"/>
      <c r="Q472" s="116"/>
      <c r="R472" s="117"/>
    </row>
    <row r="473" spans="1:18" s="148" customFormat="1" ht="18" customHeight="1" x14ac:dyDescent="0.25">
      <c r="A473" s="185"/>
      <c r="B473" s="140"/>
      <c r="C473" s="140"/>
      <c r="D473" s="140"/>
      <c r="E473" s="139"/>
      <c r="F473" s="140"/>
      <c r="G473" s="142"/>
      <c r="H473" s="143"/>
      <c r="I473" s="144"/>
      <c r="J473" s="145"/>
      <c r="K473" s="144"/>
      <c r="L473" s="145"/>
      <c r="M473" s="145"/>
      <c r="N473" s="115"/>
      <c r="O473" s="115"/>
      <c r="P473" s="116"/>
      <c r="Q473" s="116"/>
      <c r="R473" s="117"/>
    </row>
    <row r="474" spans="1:18" s="148" customFormat="1" ht="18" customHeight="1" x14ac:dyDescent="0.25">
      <c r="A474" s="185"/>
      <c r="B474" s="140"/>
      <c r="C474" s="140"/>
      <c r="D474" s="140"/>
      <c r="E474" s="139"/>
      <c r="F474" s="140"/>
      <c r="G474" s="142"/>
      <c r="H474" s="143"/>
      <c r="I474" s="144"/>
      <c r="J474" s="145"/>
      <c r="K474" s="144"/>
      <c r="L474" s="145"/>
      <c r="M474" s="145"/>
      <c r="N474" s="115"/>
      <c r="O474" s="115"/>
      <c r="P474" s="116"/>
      <c r="Q474" s="116"/>
      <c r="R474" s="117"/>
    </row>
    <row r="475" spans="1:18" s="148" customFormat="1" ht="18" customHeight="1" x14ac:dyDescent="0.25">
      <c r="A475" s="185"/>
      <c r="B475" s="140"/>
      <c r="C475" s="140"/>
      <c r="D475" s="140"/>
      <c r="E475" s="139"/>
      <c r="F475" s="140"/>
      <c r="G475" s="142"/>
      <c r="H475" s="143"/>
      <c r="I475" s="144"/>
      <c r="J475" s="145"/>
      <c r="K475" s="144"/>
      <c r="L475" s="145"/>
      <c r="M475" s="145"/>
      <c r="N475" s="115"/>
      <c r="O475" s="115"/>
      <c r="P475" s="116"/>
      <c r="Q475" s="116"/>
      <c r="R475" s="117"/>
    </row>
    <row r="476" spans="1:18" s="148" customFormat="1" ht="18" customHeight="1" x14ac:dyDescent="0.25">
      <c r="A476" s="185"/>
      <c r="B476" s="140"/>
      <c r="C476" s="140"/>
      <c r="D476" s="140"/>
      <c r="E476" s="139"/>
      <c r="F476" s="140"/>
      <c r="G476" s="142"/>
      <c r="H476" s="143"/>
      <c r="I476" s="144"/>
      <c r="J476" s="145"/>
      <c r="K476" s="144"/>
      <c r="L476" s="145"/>
      <c r="M476" s="145"/>
      <c r="N476" s="115"/>
      <c r="O476" s="115"/>
      <c r="P476" s="116"/>
      <c r="Q476" s="116"/>
      <c r="R476" s="117"/>
    </row>
    <row r="477" spans="1:18" s="148" customFormat="1" ht="18" customHeight="1" x14ac:dyDescent="0.25">
      <c r="A477" s="185"/>
      <c r="B477" s="140"/>
      <c r="C477" s="140"/>
      <c r="D477" s="140"/>
      <c r="E477" s="139"/>
      <c r="F477" s="140"/>
      <c r="G477" s="142"/>
      <c r="H477" s="143"/>
      <c r="I477" s="144"/>
      <c r="J477" s="145"/>
      <c r="K477" s="144"/>
      <c r="L477" s="145"/>
      <c r="M477" s="145"/>
      <c r="N477" s="115"/>
      <c r="O477" s="115"/>
      <c r="P477" s="116"/>
      <c r="Q477" s="116"/>
      <c r="R477" s="117"/>
    </row>
    <row r="478" spans="1:18" s="148" customFormat="1" ht="18" customHeight="1" x14ac:dyDescent="0.25">
      <c r="A478" s="185"/>
      <c r="B478" s="140"/>
      <c r="C478" s="140"/>
      <c r="D478" s="140"/>
      <c r="E478" s="139"/>
      <c r="F478" s="140"/>
      <c r="G478" s="142"/>
      <c r="H478" s="143"/>
      <c r="I478" s="144"/>
      <c r="J478" s="145"/>
      <c r="K478" s="144"/>
      <c r="L478" s="145"/>
      <c r="M478" s="145"/>
      <c r="N478" s="115"/>
      <c r="O478" s="115"/>
      <c r="P478" s="116"/>
      <c r="Q478" s="116"/>
      <c r="R478" s="117"/>
    </row>
    <row r="479" spans="1:18" s="148" customFormat="1" ht="18" customHeight="1" x14ac:dyDescent="0.25">
      <c r="A479" s="185"/>
      <c r="B479" s="140"/>
      <c r="C479" s="140"/>
      <c r="D479" s="140"/>
      <c r="E479" s="139"/>
      <c r="F479" s="140"/>
      <c r="G479" s="142"/>
      <c r="H479" s="143"/>
      <c r="I479" s="144"/>
      <c r="J479" s="145"/>
      <c r="K479" s="144"/>
      <c r="L479" s="145"/>
      <c r="M479" s="145"/>
      <c r="N479" s="115"/>
      <c r="O479" s="115"/>
      <c r="P479" s="116"/>
      <c r="Q479" s="116"/>
      <c r="R479" s="117"/>
    </row>
    <row r="480" spans="1:18" s="148" customFormat="1" ht="18" customHeight="1" x14ac:dyDescent="0.25">
      <c r="A480" s="185"/>
      <c r="B480" s="140"/>
      <c r="C480" s="140"/>
      <c r="D480" s="140"/>
      <c r="E480" s="139"/>
      <c r="F480" s="140"/>
      <c r="G480" s="142"/>
      <c r="H480" s="143"/>
      <c r="I480" s="144"/>
      <c r="J480" s="145"/>
      <c r="K480" s="144"/>
      <c r="L480" s="145"/>
      <c r="M480" s="145"/>
      <c r="N480" s="115"/>
      <c r="O480" s="115"/>
      <c r="P480" s="116"/>
      <c r="Q480" s="116"/>
      <c r="R480" s="117"/>
    </row>
    <row r="481" spans="1:18" s="148" customFormat="1" ht="18" customHeight="1" x14ac:dyDescent="0.25">
      <c r="A481" s="143"/>
      <c r="B481" s="157"/>
      <c r="C481" s="140"/>
      <c r="D481" s="140"/>
      <c r="E481" s="156"/>
      <c r="F481" s="157"/>
      <c r="G481" s="142"/>
      <c r="H481" s="143"/>
      <c r="I481" s="213"/>
      <c r="J481" s="145"/>
      <c r="K481" s="213"/>
      <c r="L481" s="145"/>
      <c r="M481" s="145"/>
      <c r="N481" s="115"/>
      <c r="O481" s="115"/>
      <c r="P481" s="116"/>
      <c r="Q481" s="116"/>
      <c r="R481" s="117"/>
    </row>
    <row r="482" spans="1:18" s="148" customFormat="1" ht="18" customHeight="1" x14ac:dyDescent="0.25">
      <c r="A482" s="143"/>
      <c r="B482" s="157"/>
      <c r="C482" s="140"/>
      <c r="D482" s="140"/>
      <c r="E482" s="156"/>
      <c r="F482" s="157"/>
      <c r="G482" s="142"/>
      <c r="H482" s="143"/>
      <c r="I482" s="213"/>
      <c r="J482" s="145"/>
      <c r="K482" s="213"/>
      <c r="L482" s="145"/>
      <c r="M482" s="145"/>
      <c r="N482" s="115"/>
      <c r="O482" s="115"/>
      <c r="P482" s="116"/>
      <c r="Q482" s="116"/>
      <c r="R482" s="117"/>
    </row>
    <row r="483" spans="1:18" s="148" customFormat="1" ht="18" customHeight="1" x14ac:dyDescent="0.25">
      <c r="A483" s="143"/>
      <c r="B483" s="157"/>
      <c r="C483" s="140"/>
      <c r="D483" s="140"/>
      <c r="E483" s="156"/>
      <c r="F483" s="157"/>
      <c r="G483" s="142"/>
      <c r="H483" s="143"/>
      <c r="I483" s="213"/>
      <c r="J483" s="145"/>
      <c r="K483" s="213"/>
      <c r="L483" s="145"/>
      <c r="M483" s="145"/>
      <c r="N483" s="115"/>
      <c r="O483" s="115"/>
      <c r="P483" s="116"/>
      <c r="Q483" s="116"/>
      <c r="R483" s="117"/>
    </row>
    <row r="484" spans="1:18" s="148" customFormat="1" ht="18" customHeight="1" x14ac:dyDescent="0.25">
      <c r="A484" s="143"/>
      <c r="B484" s="157"/>
      <c r="C484" s="140"/>
      <c r="D484" s="140"/>
      <c r="E484" s="156"/>
      <c r="F484" s="157"/>
      <c r="G484" s="142"/>
      <c r="H484" s="143"/>
      <c r="I484" s="213"/>
      <c r="J484" s="145"/>
      <c r="K484" s="213"/>
      <c r="L484" s="145"/>
      <c r="M484" s="145"/>
      <c r="N484" s="115"/>
      <c r="O484" s="115"/>
      <c r="P484" s="116"/>
      <c r="Q484" s="116"/>
      <c r="R484" s="117"/>
    </row>
    <row r="485" spans="1:18" s="148" customFormat="1" ht="18" customHeight="1" x14ac:dyDescent="0.25">
      <c r="A485" s="143"/>
      <c r="B485" s="157"/>
      <c r="C485" s="140"/>
      <c r="D485" s="140"/>
      <c r="E485" s="156"/>
      <c r="F485" s="157"/>
      <c r="G485" s="142"/>
      <c r="H485" s="143"/>
      <c r="I485" s="213"/>
      <c r="J485" s="145"/>
      <c r="K485" s="213"/>
      <c r="L485" s="145"/>
      <c r="M485" s="145"/>
      <c r="N485" s="115"/>
      <c r="O485" s="115"/>
      <c r="P485" s="116"/>
      <c r="Q485" s="116"/>
      <c r="R485" s="117"/>
    </row>
    <row r="486" spans="1:18" s="148" customFormat="1" ht="18" customHeight="1" x14ac:dyDescent="0.25">
      <c r="A486" s="143"/>
      <c r="B486" s="157"/>
      <c r="C486" s="140"/>
      <c r="D486" s="140"/>
      <c r="E486" s="156"/>
      <c r="F486" s="157"/>
      <c r="G486" s="142"/>
      <c r="H486" s="143"/>
      <c r="I486" s="213"/>
      <c r="J486" s="145"/>
      <c r="K486" s="213"/>
      <c r="L486" s="145"/>
      <c r="M486" s="145"/>
      <c r="N486" s="115"/>
      <c r="O486" s="115"/>
      <c r="P486" s="116"/>
      <c r="Q486" s="116"/>
      <c r="R486" s="117"/>
    </row>
    <row r="487" spans="1:18" s="148" customFormat="1" ht="18" customHeight="1" x14ac:dyDescent="0.25">
      <c r="A487" s="143"/>
      <c r="B487" s="157"/>
      <c r="C487" s="140"/>
      <c r="D487" s="140"/>
      <c r="E487" s="156"/>
      <c r="F487" s="157"/>
      <c r="G487" s="142"/>
      <c r="H487" s="143"/>
      <c r="I487" s="213"/>
      <c r="J487" s="145"/>
      <c r="K487" s="213"/>
      <c r="L487" s="145"/>
      <c r="M487" s="145"/>
      <c r="N487" s="115"/>
      <c r="O487" s="115"/>
      <c r="P487" s="116"/>
      <c r="Q487" s="116"/>
      <c r="R487" s="117"/>
    </row>
    <row r="488" spans="1:18" s="170" customFormat="1" ht="18" customHeight="1" thickBot="1" x14ac:dyDescent="0.3">
      <c r="A488" s="164"/>
      <c r="B488" s="161"/>
      <c r="C488" s="160"/>
      <c r="D488" s="160"/>
      <c r="E488" s="159"/>
      <c r="F488" s="161"/>
      <c r="G488" s="162"/>
      <c r="H488" s="163" t="s">
        <v>15</v>
      </c>
      <c r="I488" s="217"/>
      <c r="J488" s="165">
        <f>SUM(J448:J487)</f>
        <v>1637820</v>
      </c>
      <c r="K488" s="217"/>
      <c r="L488" s="165"/>
      <c r="M488" s="165">
        <f>SUM(M448:M487)</f>
        <v>58391</v>
      </c>
      <c r="N488" s="167"/>
      <c r="O488" s="167"/>
      <c r="P488" s="168"/>
      <c r="Q488" s="168"/>
      <c r="R488" s="169"/>
    </row>
    <row r="489" spans="1:18" s="148" customFormat="1" ht="18" customHeight="1" thickTop="1" x14ac:dyDescent="0.25">
      <c r="A489" s="157"/>
      <c r="B489" s="157"/>
      <c r="C489" s="140"/>
      <c r="D489" s="140"/>
      <c r="E489" s="157"/>
      <c r="F489" s="157"/>
      <c r="G489" s="157"/>
      <c r="H489" s="157"/>
      <c r="I489" s="157"/>
      <c r="J489" s="171"/>
      <c r="K489" s="231"/>
      <c r="L489" s="173"/>
      <c r="M489" s="173"/>
      <c r="N489" s="115"/>
      <c r="O489" s="115"/>
      <c r="P489" s="116"/>
      <c r="Q489" s="116"/>
      <c r="R489" s="117"/>
    </row>
    <row r="490" spans="1:18" s="148" customFormat="1" ht="18" customHeight="1" x14ac:dyDescent="0.25">
      <c r="A490" s="157"/>
      <c r="B490" s="157"/>
      <c r="C490" s="140"/>
      <c r="D490" s="140"/>
      <c r="E490" s="157"/>
      <c r="F490" s="157"/>
      <c r="G490" s="157"/>
      <c r="H490" s="157"/>
      <c r="I490" s="157"/>
      <c r="J490" s="157"/>
      <c r="K490" s="174"/>
      <c r="L490" s="172"/>
      <c r="M490" s="172"/>
      <c r="N490" s="115"/>
      <c r="O490" s="115"/>
      <c r="P490" s="116"/>
      <c r="Q490" s="116"/>
      <c r="R490" s="117"/>
    </row>
    <row r="491" spans="1:18" s="148" customFormat="1" ht="18" customHeight="1" x14ac:dyDescent="0.25">
      <c r="A491" s="157"/>
      <c r="B491" s="157"/>
      <c r="C491" s="140"/>
      <c r="D491" s="140"/>
      <c r="E491" s="157"/>
      <c r="F491" s="157"/>
      <c r="G491" s="157"/>
      <c r="H491" s="157"/>
      <c r="I491" s="157"/>
      <c r="J491" s="157"/>
      <c r="K491" s="174"/>
      <c r="L491" s="172"/>
      <c r="M491" s="172"/>
      <c r="N491" s="115"/>
      <c r="O491" s="115"/>
      <c r="P491" s="116"/>
      <c r="Q491" s="116"/>
      <c r="R491" s="117"/>
    </row>
    <row r="492" spans="1:18" s="148" customFormat="1" ht="18" customHeight="1" x14ac:dyDescent="0.25">
      <c r="A492" s="175" t="s">
        <v>636</v>
      </c>
      <c r="B492" s="175"/>
      <c r="C492" s="932"/>
      <c r="D492" s="932"/>
      <c r="E492" s="176"/>
      <c r="F492" s="176"/>
      <c r="G492" s="176"/>
      <c r="H492" s="175" t="s">
        <v>637</v>
      </c>
      <c r="I492" s="176"/>
      <c r="K492" s="175" t="s">
        <v>264</v>
      </c>
      <c r="L492" s="177"/>
      <c r="M492" s="177"/>
      <c r="N492" s="115"/>
      <c r="O492" s="115"/>
      <c r="P492" s="116"/>
      <c r="Q492" s="116"/>
      <c r="R492" s="117"/>
    </row>
    <row r="493" spans="1:18" s="148" customFormat="1" ht="18" customHeight="1" x14ac:dyDescent="0.25">
      <c r="A493" s="176"/>
      <c r="B493" s="176"/>
      <c r="C493" s="933"/>
      <c r="D493" s="933"/>
      <c r="E493" s="176"/>
      <c r="F493" s="176"/>
      <c r="G493" s="176"/>
      <c r="H493" s="176"/>
      <c r="I493" s="176"/>
      <c r="J493" s="176"/>
      <c r="K493" s="178"/>
      <c r="L493" s="177"/>
      <c r="M493" s="177"/>
      <c r="N493" s="115"/>
      <c r="O493" s="115"/>
      <c r="P493" s="116"/>
      <c r="Q493" s="116"/>
      <c r="R493" s="117"/>
    </row>
    <row r="494" spans="1:18" s="148" customFormat="1" ht="18" customHeight="1" x14ac:dyDescent="0.25">
      <c r="A494" s="1131" t="s">
        <v>66</v>
      </c>
      <c r="B494" s="1131"/>
      <c r="C494" s="1131"/>
      <c r="D494" s="1131"/>
      <c r="E494" s="1131"/>
      <c r="F494" s="1131"/>
      <c r="G494" s="176"/>
      <c r="H494" s="1131" t="s">
        <v>17</v>
      </c>
      <c r="I494" s="1131"/>
      <c r="J494" s="176"/>
      <c r="K494" s="1131" t="s">
        <v>1493</v>
      </c>
      <c r="L494" s="1131"/>
      <c r="M494" s="1131"/>
      <c r="N494" s="115"/>
      <c r="O494" s="115"/>
      <c r="P494" s="116"/>
      <c r="Q494" s="116"/>
      <c r="R494" s="117"/>
    </row>
    <row r="495" spans="1:18" s="148" customFormat="1" ht="18" customHeight="1" x14ac:dyDescent="0.25">
      <c r="A495" s="1132" t="s">
        <v>437</v>
      </c>
      <c r="B495" s="1132"/>
      <c r="C495" s="1132"/>
      <c r="D495" s="1132"/>
      <c r="E495" s="1132"/>
      <c r="F495" s="1132"/>
      <c r="G495" s="179"/>
      <c r="H495" s="1132" t="s">
        <v>18</v>
      </c>
      <c r="I495" s="1132"/>
      <c r="J495" s="932"/>
      <c r="K495" s="1132" t="s">
        <v>14</v>
      </c>
      <c r="L495" s="1132"/>
      <c r="M495" s="1132"/>
      <c r="N495" s="115"/>
      <c r="O495" s="115"/>
      <c r="P495" s="116"/>
      <c r="Q495" s="116"/>
      <c r="R495" s="117"/>
    </row>
    <row r="496" spans="1:18" ht="18" customHeight="1" x14ac:dyDescent="0.2">
      <c r="A496" s="111"/>
      <c r="B496" s="111"/>
      <c r="C496" s="930"/>
      <c r="D496" s="930"/>
      <c r="E496" s="1121"/>
      <c r="F496" s="1121"/>
      <c r="G496" s="1121"/>
      <c r="H496" s="930"/>
      <c r="I496" s="930"/>
      <c r="J496" s="930"/>
      <c r="K496" s="1121"/>
      <c r="L496" s="1121"/>
      <c r="M496" s="1121"/>
    </row>
    <row r="497" spans="1:14" ht="18" customHeight="1" x14ac:dyDescent="0.2">
      <c r="A497" s="111"/>
      <c r="B497" s="111"/>
      <c r="C497" s="930"/>
      <c r="D497" s="930"/>
      <c r="E497" s="930"/>
      <c r="F497" s="930"/>
      <c r="G497" s="930"/>
      <c r="H497" s="930"/>
      <c r="I497" s="930"/>
      <c r="J497" s="930"/>
      <c r="K497" s="930"/>
      <c r="L497" s="930"/>
      <c r="M497" s="930"/>
    </row>
    <row r="498" spans="1:14" ht="18" customHeight="1" x14ac:dyDescent="0.2">
      <c r="A498" s="111"/>
      <c r="B498" s="111"/>
      <c r="C498" s="930"/>
      <c r="D498" s="930"/>
      <c r="E498" s="930"/>
      <c r="F498" s="930"/>
      <c r="G498" s="930"/>
      <c r="H498" s="930"/>
      <c r="I498" s="930"/>
      <c r="J498" s="930"/>
      <c r="K498" s="930"/>
      <c r="L498" s="930"/>
      <c r="M498" s="930"/>
    </row>
    <row r="499" spans="1:14" ht="18" customHeight="1" x14ac:dyDescent="0.2">
      <c r="A499" s="111"/>
      <c r="B499" s="111"/>
      <c r="C499" s="930"/>
      <c r="D499" s="930"/>
      <c r="E499" s="930"/>
      <c r="F499" s="930"/>
      <c r="G499" s="930"/>
      <c r="H499" s="930"/>
      <c r="I499" s="930"/>
      <c r="J499" s="930"/>
      <c r="K499" s="930"/>
      <c r="L499" s="930"/>
      <c r="M499" s="930"/>
    </row>
    <row r="500" spans="1:14" ht="18" customHeight="1" x14ac:dyDescent="0.2">
      <c r="A500" s="111"/>
      <c r="B500" s="111"/>
      <c r="C500" s="930"/>
      <c r="D500" s="930"/>
      <c r="E500" s="930"/>
      <c r="F500" s="930"/>
      <c r="G500" s="930"/>
      <c r="H500" s="930"/>
      <c r="I500" s="930"/>
      <c r="J500" s="930"/>
      <c r="K500" s="930"/>
      <c r="L500" s="930"/>
      <c r="M500" s="930"/>
    </row>
    <row r="501" spans="1:14" ht="18" customHeight="1" x14ac:dyDescent="0.2">
      <c r="A501" s="111"/>
      <c r="B501" s="111"/>
      <c r="C501" s="930"/>
      <c r="D501" s="930"/>
      <c r="E501" s="930"/>
      <c r="F501" s="930"/>
      <c r="G501" s="930"/>
      <c r="H501" s="930"/>
      <c r="I501" s="930"/>
      <c r="J501" s="930"/>
      <c r="K501" s="930"/>
      <c r="L501" s="930"/>
      <c r="M501" s="930"/>
    </row>
    <row r="502" spans="1:14" ht="18" customHeight="1" x14ac:dyDescent="0.2"/>
    <row r="503" spans="1:14" ht="20.100000000000001" customHeight="1" x14ac:dyDescent="0.35">
      <c r="A503" s="1142" t="s">
        <v>1006</v>
      </c>
      <c r="B503" s="1142"/>
      <c r="C503" s="1142"/>
      <c r="D503" s="1142"/>
      <c r="E503" s="1142"/>
      <c r="F503" s="1142"/>
      <c r="G503" s="1142"/>
      <c r="H503" s="1142"/>
      <c r="I503" s="1142"/>
      <c r="J503" s="1142"/>
      <c r="K503" s="1142"/>
      <c r="L503" s="1142"/>
      <c r="M503" s="1142"/>
    </row>
    <row r="504" spans="1:14" ht="18" customHeight="1" x14ac:dyDescent="0.2">
      <c r="A504" s="110"/>
      <c r="B504" s="110"/>
      <c r="C504" s="937"/>
      <c r="D504" s="937"/>
      <c r="E504" s="111"/>
      <c r="F504" s="111"/>
      <c r="G504" s="111"/>
      <c r="H504" s="111"/>
      <c r="I504" s="111"/>
      <c r="J504" s="111"/>
      <c r="K504" s="112"/>
      <c r="M504" s="114"/>
    </row>
    <row r="505" spans="1:14" ht="18" customHeight="1" x14ac:dyDescent="0.3">
      <c r="A505" s="1119" t="s">
        <v>1549</v>
      </c>
      <c r="B505" s="1119"/>
      <c r="C505" s="1119"/>
      <c r="D505" s="1119"/>
      <c r="E505" s="1119"/>
      <c r="F505" s="1119"/>
      <c r="G505" s="1119"/>
      <c r="H505" s="1119"/>
      <c r="I505" s="1119"/>
      <c r="J505" s="1119"/>
      <c r="K505" s="1119"/>
      <c r="L505" s="1119"/>
      <c r="M505" s="1119"/>
    </row>
    <row r="506" spans="1:14" ht="18" customHeight="1" x14ac:dyDescent="0.3">
      <c r="A506" s="1120" t="s">
        <v>364</v>
      </c>
      <c r="B506" s="1120"/>
      <c r="C506" s="1120"/>
      <c r="D506" s="1120"/>
      <c r="E506" s="1120"/>
      <c r="F506" s="1120"/>
      <c r="G506" s="1120"/>
      <c r="H506" s="1120"/>
      <c r="I506" s="1120"/>
      <c r="J506" s="1120"/>
      <c r="K506" s="1120"/>
      <c r="L506" s="1120"/>
      <c r="M506" s="1120"/>
    </row>
    <row r="507" spans="1:14" ht="18" customHeight="1" x14ac:dyDescent="0.2">
      <c r="A507" s="1121"/>
      <c r="B507" s="1121"/>
      <c r="C507" s="1121"/>
      <c r="D507" s="1121"/>
      <c r="E507" s="1121"/>
      <c r="F507" s="1121"/>
      <c r="G507" s="1121"/>
      <c r="H507" s="1121"/>
      <c r="I507" s="1121"/>
      <c r="J507" s="1121"/>
      <c r="K507" s="1121"/>
      <c r="L507" s="1121"/>
      <c r="M507" s="1121"/>
    </row>
    <row r="508" spans="1:14" ht="18" customHeight="1" x14ac:dyDescent="0.2">
      <c r="A508" s="930"/>
      <c r="B508" s="930"/>
      <c r="C508" s="930"/>
      <c r="D508" s="930"/>
      <c r="E508" s="930"/>
      <c r="F508" s="930"/>
      <c r="G508" s="930"/>
      <c r="H508" s="930"/>
      <c r="I508" s="930"/>
      <c r="J508" s="930"/>
      <c r="K508" s="930"/>
      <c r="L508" s="930"/>
      <c r="M508" s="930"/>
    </row>
    <row r="509" spans="1:14" ht="18" customHeight="1" x14ac:dyDescent="0.2">
      <c r="A509" s="111" t="s">
        <v>457</v>
      </c>
      <c r="B509" s="111"/>
      <c r="C509" s="111" t="s">
        <v>455</v>
      </c>
      <c r="D509" s="111" t="s">
        <v>321</v>
      </c>
      <c r="E509" s="111"/>
      <c r="F509" s="111"/>
      <c r="G509" s="111"/>
      <c r="H509" s="930"/>
      <c r="I509" s="930"/>
      <c r="J509" s="930"/>
      <c r="K509" s="930"/>
      <c r="L509" s="930"/>
      <c r="M509" s="930"/>
    </row>
    <row r="510" spans="1:14" ht="18" customHeight="1" x14ac:dyDescent="0.25">
      <c r="A510" s="111" t="s">
        <v>465</v>
      </c>
      <c r="B510" s="111"/>
      <c r="C510" s="111" t="s">
        <v>455</v>
      </c>
      <c r="D510" s="111" t="s">
        <v>474</v>
      </c>
      <c r="E510" s="111"/>
      <c r="F510" s="111"/>
      <c r="G510" s="111"/>
      <c r="H510" s="930"/>
      <c r="I510" s="930"/>
      <c r="J510" s="930"/>
      <c r="K510" s="930"/>
      <c r="L510" s="930"/>
      <c r="M510" s="930"/>
      <c r="N510" s="182"/>
    </row>
    <row r="511" spans="1:14" ht="18" customHeight="1" thickBot="1" x14ac:dyDescent="0.3">
      <c r="A511" s="111" t="s">
        <v>462</v>
      </c>
      <c r="B511" s="111"/>
      <c r="C511" s="219" t="s">
        <v>455</v>
      </c>
      <c r="D511" s="111" t="s">
        <v>475</v>
      </c>
      <c r="E511" s="111"/>
      <c r="F511" s="111"/>
      <c r="G511" s="111"/>
      <c r="H511" s="930"/>
      <c r="I511" s="930"/>
      <c r="J511" s="930"/>
      <c r="K511" s="930"/>
      <c r="L511" s="930"/>
      <c r="M511" s="930"/>
      <c r="N511" s="182"/>
    </row>
    <row r="512" spans="1:14" ht="18" customHeight="1" x14ac:dyDescent="0.25">
      <c r="A512" s="1122" t="s">
        <v>642</v>
      </c>
      <c r="B512" s="1123"/>
      <c r="C512" s="1123"/>
      <c r="D512" s="1123"/>
      <c r="E512" s="1124"/>
      <c r="F512" s="1123"/>
      <c r="G512" s="1125"/>
      <c r="H512" s="121"/>
      <c r="I512" s="1126" t="s">
        <v>646</v>
      </c>
      <c r="J512" s="1127"/>
      <c r="K512" s="1126" t="s">
        <v>646</v>
      </c>
      <c r="L512" s="1127"/>
      <c r="M512" s="122"/>
      <c r="N512" s="182"/>
    </row>
    <row r="513" spans="1:18" ht="18" customHeight="1" x14ac:dyDescent="0.2">
      <c r="A513" s="123" t="s">
        <v>643</v>
      </c>
      <c r="B513" s="1133" t="s">
        <v>644</v>
      </c>
      <c r="C513" s="1134"/>
      <c r="D513" s="1135"/>
      <c r="E513" s="1136" t="s">
        <v>45</v>
      </c>
      <c r="F513" s="1137"/>
      <c r="G513" s="1138"/>
      <c r="H513" s="934" t="s">
        <v>46</v>
      </c>
      <c r="I513" s="1136" t="s">
        <v>1492</v>
      </c>
      <c r="J513" s="1138"/>
      <c r="K513" s="1137" t="s">
        <v>1550</v>
      </c>
      <c r="L513" s="1138"/>
      <c r="M513" s="124" t="s">
        <v>47</v>
      </c>
    </row>
    <row r="514" spans="1:18" ht="18" customHeight="1" x14ac:dyDescent="0.2">
      <c r="A514" s="125"/>
      <c r="B514" s="934"/>
      <c r="C514" s="935"/>
      <c r="D514" s="935"/>
      <c r="E514" s="934"/>
      <c r="F514" s="935"/>
      <c r="G514" s="936"/>
      <c r="H514" s="934" t="s">
        <v>48</v>
      </c>
      <c r="I514" s="1139" t="s">
        <v>1551</v>
      </c>
      <c r="J514" s="1140"/>
      <c r="K514" s="1139"/>
      <c r="L514" s="1140"/>
      <c r="M514" s="124" t="s">
        <v>49</v>
      </c>
    </row>
    <row r="515" spans="1:18" ht="18" customHeight="1" x14ac:dyDescent="0.2">
      <c r="A515" s="125"/>
      <c r="B515" s="934"/>
      <c r="C515" s="935"/>
      <c r="D515" s="935"/>
      <c r="E515" s="934"/>
      <c r="F515" s="935"/>
      <c r="G515" s="126"/>
      <c r="H515" s="127"/>
      <c r="I515" s="128" t="s">
        <v>645</v>
      </c>
      <c r="J515" s="129" t="s">
        <v>50</v>
      </c>
      <c r="K515" s="128" t="s">
        <v>645</v>
      </c>
      <c r="L515" s="129" t="s">
        <v>50</v>
      </c>
      <c r="M515" s="124"/>
    </row>
    <row r="516" spans="1:18" ht="18" customHeight="1" thickBot="1" x14ac:dyDescent="0.25">
      <c r="A516" s="130"/>
      <c r="B516" s="1128"/>
      <c r="C516" s="1129"/>
      <c r="D516" s="1130"/>
      <c r="E516" s="1128"/>
      <c r="F516" s="1129"/>
      <c r="G516" s="1130"/>
      <c r="H516" s="131"/>
      <c r="I516" s="131"/>
      <c r="J516" s="131"/>
      <c r="K516" s="131"/>
      <c r="L516" s="131"/>
      <c r="M516" s="132"/>
    </row>
    <row r="517" spans="1:18" ht="18" customHeight="1" x14ac:dyDescent="0.2">
      <c r="A517" s="183"/>
      <c r="B517" s="119"/>
      <c r="C517" s="119"/>
      <c r="D517" s="119"/>
      <c r="E517" s="133"/>
      <c r="F517" s="119"/>
      <c r="G517" s="220"/>
      <c r="H517" s="183"/>
      <c r="I517" s="183"/>
      <c r="J517" s="183"/>
      <c r="K517" s="183"/>
      <c r="L517" s="183"/>
      <c r="M517" s="183"/>
    </row>
    <row r="518" spans="1:18" s="148" customFormat="1" ht="18" customHeight="1" x14ac:dyDescent="0.25">
      <c r="A518" s="185">
        <v>1</v>
      </c>
      <c r="B518" s="140"/>
      <c r="C518" s="140"/>
      <c r="D518" s="140"/>
      <c r="E518" s="156" t="s">
        <v>80</v>
      </c>
      <c r="F518" s="140"/>
      <c r="G518" s="142"/>
      <c r="H518" s="143" t="s">
        <v>91</v>
      </c>
      <c r="I518" s="187" t="s">
        <v>69</v>
      </c>
      <c r="J518" s="145">
        <f>72313*12</f>
        <v>867756</v>
      </c>
      <c r="K518" s="187" t="s">
        <v>69</v>
      </c>
      <c r="L518" s="145">
        <v>884772</v>
      </c>
      <c r="M518" s="146">
        <f>L518-J518</f>
        <v>17016</v>
      </c>
      <c r="N518" s="115">
        <f>L518-J518</f>
        <v>17016</v>
      </c>
      <c r="O518" s="115">
        <f>N518-M518</f>
        <v>0</v>
      </c>
      <c r="P518" s="116">
        <v>62304</v>
      </c>
      <c r="Q518" s="116">
        <f>P518*12</f>
        <v>747648</v>
      </c>
      <c r="R518" s="147">
        <f>Q518-L518</f>
        <v>-137124</v>
      </c>
    </row>
    <row r="519" spans="1:18" s="148" customFormat="1" ht="18" customHeight="1" x14ac:dyDescent="0.25">
      <c r="A519" s="185"/>
      <c r="B519" s="140"/>
      <c r="C519" s="140"/>
      <c r="D519" s="140"/>
      <c r="E519" s="156" t="s">
        <v>923</v>
      </c>
      <c r="F519" s="140"/>
      <c r="G519" s="142"/>
      <c r="H519" s="143"/>
      <c r="I519" s="187"/>
      <c r="J519" s="145"/>
      <c r="K519" s="187" t="s">
        <v>225</v>
      </c>
      <c r="L519" s="145">
        <v>899208</v>
      </c>
      <c r="M519" s="146">
        <v>8421</v>
      </c>
      <c r="N519" s="115"/>
      <c r="O519" s="115"/>
      <c r="P519" s="116"/>
      <c r="Q519" s="116"/>
      <c r="R519" s="117"/>
    </row>
    <row r="520" spans="1:18" s="148" customFormat="1" ht="18" customHeight="1" x14ac:dyDescent="0.25">
      <c r="A520" s="185"/>
      <c r="B520" s="140"/>
      <c r="C520" s="140"/>
      <c r="D520" s="140"/>
      <c r="E520" s="156"/>
      <c r="F520" s="140"/>
      <c r="G520" s="142"/>
      <c r="H520" s="143"/>
      <c r="I520" s="187"/>
      <c r="J520" s="145"/>
      <c r="K520" s="187"/>
      <c r="L520" s="151">
        <v>44369</v>
      </c>
      <c r="M520" s="146"/>
      <c r="N520" s="115"/>
      <c r="O520" s="115"/>
      <c r="P520" s="116"/>
      <c r="Q520" s="116"/>
      <c r="R520" s="117"/>
    </row>
    <row r="521" spans="1:18" s="148" customFormat="1" ht="18" customHeight="1" x14ac:dyDescent="0.25">
      <c r="A521" s="185"/>
      <c r="B521" s="140"/>
      <c r="C521" s="140"/>
      <c r="D521" s="140"/>
      <c r="E521" s="156"/>
      <c r="F521" s="140"/>
      <c r="G521" s="142"/>
      <c r="H521" s="143"/>
      <c r="I521" s="188"/>
      <c r="J521" s="145"/>
      <c r="K521" s="188"/>
      <c r="L521" s="145"/>
      <c r="M521" s="146"/>
      <c r="N521" s="115"/>
      <c r="O521" s="115"/>
      <c r="P521" s="116"/>
      <c r="Q521" s="116"/>
      <c r="R521" s="117"/>
    </row>
    <row r="522" spans="1:18" s="148" customFormat="1" ht="18" customHeight="1" x14ac:dyDescent="0.25">
      <c r="A522" s="185"/>
      <c r="B522" s="140"/>
      <c r="C522" s="140"/>
      <c r="D522" s="140"/>
      <c r="E522" s="149" t="s">
        <v>95</v>
      </c>
      <c r="F522" s="140"/>
      <c r="G522" s="150"/>
      <c r="H522" s="143"/>
      <c r="I522" s="188"/>
      <c r="J522" s="145"/>
      <c r="K522" s="188"/>
      <c r="L522" s="145"/>
      <c r="M522" s="146"/>
      <c r="N522" s="115"/>
      <c r="O522" s="115"/>
      <c r="P522" s="116"/>
      <c r="Q522" s="116"/>
      <c r="R522" s="117"/>
    </row>
    <row r="523" spans="1:18" s="148" customFormat="1" ht="18" customHeight="1" x14ac:dyDescent="0.25">
      <c r="A523" s="185"/>
      <c r="B523" s="140"/>
      <c r="C523" s="140"/>
      <c r="D523" s="140"/>
      <c r="E523" s="156"/>
      <c r="F523" s="140"/>
      <c r="G523" s="142"/>
      <c r="H523" s="143"/>
      <c r="I523" s="188"/>
      <c r="J523" s="145"/>
      <c r="K523" s="188"/>
      <c r="L523" s="145"/>
      <c r="M523" s="146"/>
      <c r="N523" s="115"/>
      <c r="O523" s="115"/>
      <c r="P523" s="116"/>
      <c r="Q523" s="116"/>
      <c r="R523" s="117"/>
    </row>
    <row r="524" spans="1:18" s="148" customFormat="1" ht="18" customHeight="1" x14ac:dyDescent="0.25">
      <c r="A524" s="185">
        <v>2</v>
      </c>
      <c r="B524" s="140"/>
      <c r="C524" s="140"/>
      <c r="D524" s="140"/>
      <c r="E524" s="156" t="s">
        <v>96</v>
      </c>
      <c r="F524" s="140"/>
      <c r="G524" s="142"/>
      <c r="H524" s="143" t="s">
        <v>97</v>
      </c>
      <c r="I524" s="187" t="s">
        <v>904</v>
      </c>
      <c r="J524" s="145">
        <f>26076*12</f>
        <v>312912</v>
      </c>
      <c r="K524" s="187" t="s">
        <v>904</v>
      </c>
      <c r="L524" s="145">
        <v>328440</v>
      </c>
      <c r="M524" s="146">
        <f>L524-J524</f>
        <v>15528</v>
      </c>
      <c r="N524" s="115">
        <f>L524-J524</f>
        <v>15528</v>
      </c>
      <c r="O524" s="115">
        <f>N524-M524</f>
        <v>0</v>
      </c>
      <c r="P524" s="116">
        <v>23326</v>
      </c>
      <c r="Q524" s="116">
        <f>P524*12</f>
        <v>279912</v>
      </c>
      <c r="R524" s="147">
        <f>Q524-L524</f>
        <v>-48528</v>
      </c>
    </row>
    <row r="525" spans="1:18" s="148" customFormat="1" ht="18" customHeight="1" x14ac:dyDescent="0.25">
      <c r="A525" s="185"/>
      <c r="B525" s="140"/>
      <c r="C525" s="140"/>
      <c r="D525" s="140"/>
      <c r="E525" s="156"/>
      <c r="F525" s="140"/>
      <c r="G525" s="142"/>
      <c r="H525" s="143"/>
      <c r="I525" s="187"/>
      <c r="J525" s="145"/>
      <c r="K525" s="187" t="s">
        <v>1552</v>
      </c>
      <c r="L525" s="145">
        <v>332124</v>
      </c>
      <c r="M525" s="146">
        <v>921</v>
      </c>
      <c r="N525" s="115"/>
      <c r="O525" s="115"/>
      <c r="P525" s="116"/>
      <c r="Q525" s="116"/>
      <c r="R525" s="147"/>
    </row>
    <row r="526" spans="1:18" s="148" customFormat="1" ht="18" customHeight="1" x14ac:dyDescent="0.25">
      <c r="A526" s="185"/>
      <c r="B526" s="140"/>
      <c r="C526" s="140"/>
      <c r="D526" s="140"/>
      <c r="E526" s="156"/>
      <c r="F526" s="140"/>
      <c r="G526" s="142"/>
      <c r="H526" s="143"/>
      <c r="I526" s="187"/>
      <c r="J526" s="145"/>
      <c r="K526" s="187"/>
      <c r="L526" s="151">
        <v>44485</v>
      </c>
      <c r="M526" s="146"/>
      <c r="N526" s="115"/>
      <c r="O526" s="115"/>
      <c r="P526" s="116">
        <v>23601</v>
      </c>
      <c r="Q526" s="116">
        <f>P526*12</f>
        <v>283212</v>
      </c>
      <c r="R526" s="147">
        <f>Q526-L526</f>
        <v>238727</v>
      </c>
    </row>
    <row r="527" spans="1:18" s="148" customFormat="1" ht="18" customHeight="1" x14ac:dyDescent="0.25">
      <c r="A527" s="185"/>
      <c r="B527" s="140"/>
      <c r="C527" s="140"/>
      <c r="D527" s="140"/>
      <c r="E527" s="149" t="s">
        <v>98</v>
      </c>
      <c r="F527" s="140"/>
      <c r="G527" s="150"/>
      <c r="H527" s="143"/>
      <c r="I527" s="188"/>
      <c r="J527" s="151"/>
      <c r="K527" s="188"/>
      <c r="L527" s="151"/>
      <c r="M527" s="146"/>
      <c r="N527" s="115"/>
      <c r="O527" s="115"/>
      <c r="P527" s="116"/>
      <c r="Q527" s="116"/>
      <c r="R527" s="117"/>
    </row>
    <row r="528" spans="1:18" s="148" customFormat="1" ht="18" customHeight="1" x14ac:dyDescent="0.25">
      <c r="A528" s="185"/>
      <c r="B528" s="140"/>
      <c r="C528" s="140"/>
      <c r="D528" s="140"/>
      <c r="E528" s="156"/>
      <c r="F528" s="140"/>
      <c r="G528" s="142"/>
      <c r="H528" s="143"/>
      <c r="I528" s="188"/>
      <c r="J528" s="145"/>
      <c r="K528" s="188"/>
      <c r="L528" s="145"/>
      <c r="M528" s="146"/>
      <c r="N528" s="115"/>
      <c r="O528" s="115"/>
      <c r="P528" s="116"/>
      <c r="Q528" s="116"/>
      <c r="R528" s="117"/>
    </row>
    <row r="529" spans="1:18" s="148" customFormat="1" ht="18" customHeight="1" x14ac:dyDescent="0.25">
      <c r="A529" s="185">
        <v>3</v>
      </c>
      <c r="B529" s="140"/>
      <c r="C529" s="140"/>
      <c r="D529" s="140"/>
      <c r="E529" s="156" t="s">
        <v>99</v>
      </c>
      <c r="F529" s="140"/>
      <c r="G529" s="142"/>
      <c r="H529" s="143" t="s">
        <v>447</v>
      </c>
      <c r="I529" s="187" t="s">
        <v>137</v>
      </c>
      <c r="J529" s="145">
        <f>19210*12</f>
        <v>230520</v>
      </c>
      <c r="K529" s="187" t="s">
        <v>137</v>
      </c>
      <c r="L529" s="145">
        <v>246444</v>
      </c>
      <c r="M529" s="146">
        <f>L529-J529</f>
        <v>15924</v>
      </c>
      <c r="N529" s="115">
        <f>L529-J529</f>
        <v>15924</v>
      </c>
      <c r="O529" s="115">
        <f>N529-M529</f>
        <v>0</v>
      </c>
      <c r="P529" s="116">
        <v>17152</v>
      </c>
      <c r="Q529" s="116">
        <f>P529*12</f>
        <v>205824</v>
      </c>
      <c r="R529" s="147">
        <f>Q529-L529</f>
        <v>-40620</v>
      </c>
    </row>
    <row r="530" spans="1:18" s="148" customFormat="1" ht="18" customHeight="1" x14ac:dyDescent="0.25">
      <c r="A530" s="185"/>
      <c r="B530" s="140"/>
      <c r="C530" s="140"/>
      <c r="D530" s="140"/>
      <c r="E530" s="156" t="s">
        <v>87</v>
      </c>
      <c r="F530" s="140"/>
      <c r="G530" s="142"/>
      <c r="H530" s="143"/>
      <c r="I530" s="187"/>
      <c r="J530" s="145"/>
      <c r="K530" s="187"/>
      <c r="L530" s="145"/>
      <c r="M530" s="146"/>
      <c r="N530" s="115"/>
      <c r="O530" s="115"/>
      <c r="P530" s="116"/>
      <c r="Q530" s="116"/>
      <c r="R530" s="117"/>
    </row>
    <row r="531" spans="1:18" s="148" customFormat="1" ht="18" customHeight="1" x14ac:dyDescent="0.25">
      <c r="A531" s="185"/>
      <c r="B531" s="140"/>
      <c r="C531" s="140"/>
      <c r="D531" s="140"/>
      <c r="E531" s="156"/>
      <c r="F531" s="140"/>
      <c r="G531" s="142"/>
      <c r="H531" s="143"/>
      <c r="I531" s="187"/>
      <c r="J531" s="155"/>
      <c r="K531" s="187"/>
      <c r="L531" s="155"/>
      <c r="M531" s="146"/>
      <c r="N531" s="115"/>
      <c r="O531" s="115"/>
      <c r="P531" s="116"/>
      <c r="Q531" s="116"/>
      <c r="R531" s="117"/>
    </row>
    <row r="532" spans="1:18" s="148" customFormat="1" ht="18" customHeight="1" x14ac:dyDescent="0.25">
      <c r="A532" s="185"/>
      <c r="B532" s="140"/>
      <c r="C532" s="140"/>
      <c r="D532" s="140"/>
      <c r="E532" s="156"/>
      <c r="F532" s="140"/>
      <c r="G532" s="142"/>
      <c r="H532" s="143"/>
      <c r="I532" s="197"/>
      <c r="J532" s="151"/>
      <c r="K532" s="197"/>
      <c r="L532" s="151"/>
      <c r="M532" s="146"/>
      <c r="N532" s="115"/>
      <c r="O532" s="115"/>
      <c r="P532" s="116"/>
      <c r="Q532" s="116"/>
      <c r="R532" s="117"/>
    </row>
    <row r="533" spans="1:18" s="148" customFormat="1" ht="18" customHeight="1" x14ac:dyDescent="0.25">
      <c r="A533" s="185">
        <v>4</v>
      </c>
      <c r="B533" s="140"/>
      <c r="C533" s="140"/>
      <c r="D533" s="140"/>
      <c r="E533" s="156" t="s">
        <v>100</v>
      </c>
      <c r="F533" s="140"/>
      <c r="G533" s="142"/>
      <c r="H533" s="143" t="s">
        <v>101</v>
      </c>
      <c r="I533" s="187" t="s">
        <v>905</v>
      </c>
      <c r="J533" s="145">
        <f>14315*12</f>
        <v>171780</v>
      </c>
      <c r="K533" s="187" t="s">
        <v>905</v>
      </c>
      <c r="L533" s="145">
        <v>179292</v>
      </c>
      <c r="M533" s="146">
        <f>L533-J533</f>
        <v>7512</v>
      </c>
      <c r="N533" s="115">
        <f>L533-J533</f>
        <v>7512</v>
      </c>
      <c r="O533" s="115">
        <f>N533-M533</f>
        <v>0</v>
      </c>
      <c r="P533" s="116">
        <v>13181</v>
      </c>
      <c r="Q533" s="116">
        <f>P533*12</f>
        <v>158172</v>
      </c>
      <c r="R533" s="147">
        <f>Q533-L533</f>
        <v>-21120</v>
      </c>
    </row>
    <row r="534" spans="1:18" s="148" customFormat="1" ht="18" customHeight="1" x14ac:dyDescent="0.25">
      <c r="A534" s="185"/>
      <c r="B534" s="140"/>
      <c r="C534" s="140"/>
      <c r="D534" s="140"/>
      <c r="E534" s="156"/>
      <c r="F534" s="140"/>
      <c r="G534" s="142"/>
      <c r="H534" s="143"/>
      <c r="I534" s="187"/>
      <c r="J534" s="145"/>
      <c r="K534" s="187" t="s">
        <v>1553</v>
      </c>
      <c r="L534" s="145">
        <v>180672</v>
      </c>
      <c r="M534" s="146">
        <v>460</v>
      </c>
      <c r="N534" s="115"/>
      <c r="O534" s="115"/>
      <c r="P534" s="116"/>
      <c r="Q534" s="116"/>
      <c r="R534" s="147"/>
    </row>
    <row r="535" spans="1:18" s="148" customFormat="1" ht="18" customHeight="1" x14ac:dyDescent="0.25">
      <c r="A535" s="185"/>
      <c r="B535" s="140"/>
      <c r="C535" s="140"/>
      <c r="D535" s="140"/>
      <c r="E535" s="156"/>
      <c r="F535" s="140"/>
      <c r="G535" s="142"/>
      <c r="H535" s="143"/>
      <c r="I535" s="187"/>
      <c r="J535" s="145"/>
      <c r="K535" s="187"/>
      <c r="L535" s="151">
        <v>44455</v>
      </c>
      <c r="M535" s="146"/>
      <c r="N535" s="115"/>
      <c r="O535" s="115"/>
      <c r="P535" s="116"/>
      <c r="Q535" s="116"/>
      <c r="R535" s="147"/>
    </row>
    <row r="536" spans="1:18" s="148" customFormat="1" ht="18" customHeight="1" x14ac:dyDescent="0.25">
      <c r="A536" s="185"/>
      <c r="B536" s="140"/>
      <c r="C536" s="140"/>
      <c r="D536" s="140"/>
      <c r="E536" s="156"/>
      <c r="F536" s="140"/>
      <c r="G536" s="142"/>
      <c r="H536" s="143"/>
      <c r="I536" s="187"/>
      <c r="J536" s="145"/>
      <c r="K536" s="187"/>
      <c r="L536" s="145"/>
      <c r="M536" s="146"/>
      <c r="N536" s="115"/>
      <c r="O536" s="115"/>
      <c r="P536" s="116"/>
      <c r="Q536" s="116"/>
      <c r="R536" s="117"/>
    </row>
    <row r="537" spans="1:18" s="148" customFormat="1" ht="18" customHeight="1" x14ac:dyDescent="0.25">
      <c r="A537" s="185">
        <v>5</v>
      </c>
      <c r="B537" s="140"/>
      <c r="C537" s="140"/>
      <c r="D537" s="140"/>
      <c r="E537" s="156" t="s">
        <v>100</v>
      </c>
      <c r="F537" s="140"/>
      <c r="G537" s="142"/>
      <c r="H537" s="143" t="s">
        <v>388</v>
      </c>
      <c r="I537" s="187" t="s">
        <v>448</v>
      </c>
      <c r="J537" s="145">
        <f>14097*12</f>
        <v>169164</v>
      </c>
      <c r="K537" s="187" t="s">
        <v>448</v>
      </c>
      <c r="L537" s="145">
        <v>176568</v>
      </c>
      <c r="M537" s="146">
        <f>L537-J537</f>
        <v>7404</v>
      </c>
      <c r="N537" s="115">
        <f>L537-J537</f>
        <v>7404</v>
      </c>
      <c r="O537" s="115">
        <f>N537-M537</f>
        <v>0</v>
      </c>
      <c r="P537" s="116">
        <v>12966</v>
      </c>
      <c r="Q537" s="116">
        <f>P537*12</f>
        <v>155592</v>
      </c>
      <c r="R537" s="147">
        <f>Q537-L537</f>
        <v>-20976</v>
      </c>
    </row>
    <row r="538" spans="1:18" s="148" customFormat="1" ht="18" customHeight="1" x14ac:dyDescent="0.25">
      <c r="A538" s="185"/>
      <c r="B538" s="140"/>
      <c r="C538" s="140"/>
      <c r="D538" s="140"/>
      <c r="E538" s="156"/>
      <c r="F538" s="140"/>
      <c r="G538" s="142"/>
      <c r="H538" s="143"/>
      <c r="I538" s="187"/>
      <c r="J538" s="145"/>
      <c r="K538" s="187"/>
      <c r="L538" s="145"/>
      <c r="M538" s="146"/>
      <c r="N538" s="115"/>
      <c r="O538" s="115"/>
      <c r="P538" s="116"/>
      <c r="Q538" s="116"/>
      <c r="R538" s="147"/>
    </row>
    <row r="539" spans="1:18" s="148" customFormat="1" ht="18" customHeight="1" x14ac:dyDescent="0.25">
      <c r="A539" s="185"/>
      <c r="B539" s="140"/>
      <c r="C539" s="140"/>
      <c r="D539" s="140"/>
      <c r="E539" s="156"/>
      <c r="F539" s="140"/>
      <c r="G539" s="142"/>
      <c r="H539" s="143"/>
      <c r="I539" s="187"/>
      <c r="J539" s="145"/>
      <c r="K539" s="187"/>
      <c r="L539" s="145"/>
      <c r="M539" s="146"/>
      <c r="N539" s="115"/>
      <c r="O539" s="115"/>
      <c r="P539" s="116"/>
      <c r="Q539" s="116"/>
      <c r="R539" s="117"/>
    </row>
    <row r="540" spans="1:18" s="148" customFormat="1" ht="18" customHeight="1" x14ac:dyDescent="0.25">
      <c r="A540" s="185">
        <v>6</v>
      </c>
      <c r="B540" s="140"/>
      <c r="C540" s="140"/>
      <c r="D540" s="140"/>
      <c r="E540" s="156" t="s">
        <v>100</v>
      </c>
      <c r="F540" s="140"/>
      <c r="G540" s="142"/>
      <c r="H540" s="143" t="s">
        <v>84</v>
      </c>
      <c r="I540" s="187" t="s">
        <v>448</v>
      </c>
      <c r="J540" s="145">
        <f>14097*12</f>
        <v>169164</v>
      </c>
      <c r="K540" s="187" t="s">
        <v>448</v>
      </c>
      <c r="L540" s="145">
        <v>176568</v>
      </c>
      <c r="M540" s="146">
        <f>L540-J540</f>
        <v>7404</v>
      </c>
      <c r="N540" s="115">
        <f>L540-J540</f>
        <v>7404</v>
      </c>
      <c r="O540" s="115">
        <f>N540-M540</f>
        <v>0</v>
      </c>
      <c r="P540" s="116">
        <v>12966</v>
      </c>
      <c r="Q540" s="116">
        <f>P540*12</f>
        <v>155592</v>
      </c>
      <c r="R540" s="147">
        <f>Q540-L540</f>
        <v>-20976</v>
      </c>
    </row>
    <row r="541" spans="1:18" s="148" customFormat="1" ht="18" customHeight="1" x14ac:dyDescent="0.25">
      <c r="A541" s="185"/>
      <c r="B541" s="140"/>
      <c r="C541" s="140"/>
      <c r="D541" s="140"/>
      <c r="E541" s="156"/>
      <c r="F541" s="140"/>
      <c r="G541" s="142"/>
      <c r="H541" s="143"/>
      <c r="I541" s="187"/>
      <c r="J541" s="145"/>
      <c r="K541" s="187"/>
      <c r="L541" s="145"/>
      <c r="M541" s="146"/>
      <c r="N541" s="115"/>
      <c r="O541" s="115"/>
      <c r="P541" s="116"/>
      <c r="Q541" s="116"/>
      <c r="R541" s="147"/>
    </row>
    <row r="542" spans="1:18" s="148" customFormat="1" ht="18" customHeight="1" x14ac:dyDescent="0.25">
      <c r="A542" s="185"/>
      <c r="B542" s="140"/>
      <c r="C542" s="140"/>
      <c r="D542" s="140"/>
      <c r="E542" s="156"/>
      <c r="F542" s="140"/>
      <c r="G542" s="142"/>
      <c r="H542" s="143"/>
      <c r="I542" s="188"/>
      <c r="J542" s="145"/>
      <c r="K542" s="188"/>
      <c r="L542" s="145"/>
      <c r="M542" s="146"/>
      <c r="N542" s="115"/>
      <c r="O542" s="115"/>
      <c r="P542" s="116"/>
      <c r="Q542" s="116"/>
      <c r="R542" s="117"/>
    </row>
    <row r="543" spans="1:18" s="148" customFormat="1" ht="18" customHeight="1" x14ac:dyDescent="0.25">
      <c r="A543" s="185">
        <v>7</v>
      </c>
      <c r="B543" s="140"/>
      <c r="C543" s="140"/>
      <c r="D543" s="140"/>
      <c r="E543" s="156" t="s">
        <v>103</v>
      </c>
      <c r="F543" s="140"/>
      <c r="G543" s="142"/>
      <c r="H543" s="143" t="s">
        <v>902</v>
      </c>
      <c r="I543" s="187" t="s">
        <v>449</v>
      </c>
      <c r="J543" s="145">
        <f>12541*12</f>
        <v>150492</v>
      </c>
      <c r="K543" s="187" t="s">
        <v>449</v>
      </c>
      <c r="L543" s="145">
        <v>157008</v>
      </c>
      <c r="M543" s="146">
        <f>L543-J543</f>
        <v>6516</v>
      </c>
      <c r="N543" s="115">
        <f>L543-J543</f>
        <v>6516</v>
      </c>
      <c r="O543" s="115">
        <f>N543-M543</f>
        <v>0</v>
      </c>
      <c r="P543" s="116">
        <v>11459</v>
      </c>
      <c r="Q543" s="116">
        <f>P543*12</f>
        <v>137508</v>
      </c>
      <c r="R543" s="147">
        <f>Q543-L543</f>
        <v>-19500</v>
      </c>
    </row>
    <row r="544" spans="1:18" s="148" customFormat="1" ht="18" customHeight="1" x14ac:dyDescent="0.25">
      <c r="A544" s="185"/>
      <c r="B544" s="140"/>
      <c r="C544" s="140"/>
      <c r="D544" s="140"/>
      <c r="E544" s="156"/>
      <c r="F544" s="140"/>
      <c r="G544" s="142"/>
      <c r="H544" s="143"/>
      <c r="I544" s="187"/>
      <c r="J544" s="145"/>
      <c r="K544" s="187"/>
      <c r="L544" s="145"/>
      <c r="M544" s="146"/>
      <c r="N544" s="115"/>
      <c r="O544" s="115"/>
      <c r="P544" s="116"/>
      <c r="Q544" s="116"/>
      <c r="R544" s="147"/>
    </row>
    <row r="545" spans="1:18" s="148" customFormat="1" ht="18" customHeight="1" x14ac:dyDescent="0.25">
      <c r="A545" s="185"/>
      <c r="B545" s="140"/>
      <c r="C545" s="140"/>
      <c r="D545" s="140"/>
      <c r="E545" s="156"/>
      <c r="F545" s="140"/>
      <c r="G545" s="142"/>
      <c r="H545" s="143"/>
      <c r="I545" s="188"/>
      <c r="J545" s="151"/>
      <c r="K545" s="188"/>
      <c r="L545" s="151"/>
      <c r="M545" s="146"/>
      <c r="N545" s="115"/>
      <c r="O545" s="115"/>
      <c r="P545" s="116"/>
      <c r="Q545" s="116"/>
      <c r="R545" s="117"/>
    </row>
    <row r="546" spans="1:18" s="148" customFormat="1" ht="18" customHeight="1" x14ac:dyDescent="0.25">
      <c r="A546" s="185">
        <v>8</v>
      </c>
      <c r="B546" s="140"/>
      <c r="C546" s="140"/>
      <c r="D546" s="140"/>
      <c r="E546" s="156" t="s">
        <v>103</v>
      </c>
      <c r="F546" s="140"/>
      <c r="G546" s="142"/>
      <c r="H546" s="143" t="s">
        <v>288</v>
      </c>
      <c r="I546" s="187" t="s">
        <v>1497</v>
      </c>
      <c r="J546" s="145">
        <f>12637*12</f>
        <v>151644</v>
      </c>
      <c r="K546" s="187" t="s">
        <v>1497</v>
      </c>
      <c r="L546" s="145">
        <v>158208</v>
      </c>
      <c r="M546" s="146">
        <f>L546-J546</f>
        <v>6564</v>
      </c>
      <c r="N546" s="115">
        <f>L546-J546</f>
        <v>6564</v>
      </c>
      <c r="O546" s="115">
        <f>N546-M546</f>
        <v>0</v>
      </c>
      <c r="P546" s="116">
        <v>11565</v>
      </c>
      <c r="Q546" s="116">
        <f>P546*12</f>
        <v>138780</v>
      </c>
      <c r="R546" s="147">
        <f>Q546-L546</f>
        <v>-19428</v>
      </c>
    </row>
    <row r="547" spans="1:18" s="148" customFormat="1" ht="18" customHeight="1" x14ac:dyDescent="0.25">
      <c r="A547" s="185"/>
      <c r="B547" s="140"/>
      <c r="C547" s="140"/>
      <c r="D547" s="140"/>
      <c r="E547" s="156"/>
      <c r="F547" s="140"/>
      <c r="G547" s="142"/>
      <c r="H547" s="143"/>
      <c r="I547" s="187"/>
      <c r="J547" s="151"/>
      <c r="K547" s="187"/>
      <c r="L547" s="151"/>
      <c r="M547" s="146"/>
      <c r="N547" s="115"/>
      <c r="O547" s="115"/>
      <c r="P547" s="116"/>
      <c r="Q547" s="116"/>
      <c r="R547" s="147"/>
    </row>
    <row r="548" spans="1:18" s="148" customFormat="1" ht="18" customHeight="1" x14ac:dyDescent="0.25">
      <c r="A548" s="185"/>
      <c r="B548" s="140"/>
      <c r="C548" s="140"/>
      <c r="D548" s="140"/>
      <c r="E548" s="156"/>
      <c r="F548" s="140"/>
      <c r="G548" s="142"/>
      <c r="H548" s="143"/>
      <c r="I548" s="187"/>
      <c r="J548" s="145"/>
      <c r="K548" s="187"/>
      <c r="L548" s="145"/>
      <c r="M548" s="146"/>
      <c r="N548" s="115"/>
      <c r="O548" s="115"/>
      <c r="P548" s="116"/>
      <c r="Q548" s="116"/>
      <c r="R548" s="117"/>
    </row>
    <row r="549" spans="1:18" s="148" customFormat="1" ht="18" customHeight="1" x14ac:dyDescent="0.25">
      <c r="A549" s="185">
        <v>9</v>
      </c>
      <c r="B549" s="140"/>
      <c r="C549" s="140"/>
      <c r="D549" s="140"/>
      <c r="E549" s="156" t="s">
        <v>103</v>
      </c>
      <c r="F549" s="140"/>
      <c r="G549" s="142"/>
      <c r="H549" s="143" t="s">
        <v>287</v>
      </c>
      <c r="I549" s="187" t="s">
        <v>1497</v>
      </c>
      <c r="J549" s="145">
        <f>12637*12</f>
        <v>151644</v>
      </c>
      <c r="K549" s="187" t="s">
        <v>1497</v>
      </c>
      <c r="L549" s="145">
        <v>158208</v>
      </c>
      <c r="M549" s="146">
        <f>L549-J549</f>
        <v>6564</v>
      </c>
      <c r="N549" s="115">
        <f>L549-J549</f>
        <v>6564</v>
      </c>
      <c r="O549" s="115">
        <f>N549-M549</f>
        <v>0</v>
      </c>
      <c r="P549" s="116">
        <v>11565</v>
      </c>
      <c r="Q549" s="116">
        <f>P549*12</f>
        <v>138780</v>
      </c>
      <c r="R549" s="147">
        <f>Q549-L549</f>
        <v>-19428</v>
      </c>
    </row>
    <row r="550" spans="1:18" s="148" customFormat="1" ht="18" customHeight="1" x14ac:dyDescent="0.25">
      <c r="A550" s="185"/>
      <c r="B550" s="140"/>
      <c r="C550" s="140"/>
      <c r="D550" s="140"/>
      <c r="E550" s="156"/>
      <c r="F550" s="140"/>
      <c r="G550" s="142"/>
      <c r="H550" s="143"/>
      <c r="I550" s="187"/>
      <c r="J550" s="151"/>
      <c r="K550" s="187"/>
      <c r="L550" s="151"/>
      <c r="M550" s="146"/>
      <c r="N550" s="115"/>
      <c r="O550" s="115"/>
      <c r="P550" s="116"/>
      <c r="Q550" s="116"/>
      <c r="R550" s="147"/>
    </row>
    <row r="551" spans="1:18" s="148" customFormat="1" ht="18" customHeight="1" x14ac:dyDescent="0.25">
      <c r="A551" s="185"/>
      <c r="B551" s="140"/>
      <c r="C551" s="140"/>
      <c r="D551" s="140"/>
      <c r="E551" s="156"/>
      <c r="F551" s="140"/>
      <c r="G551" s="142"/>
      <c r="H551" s="143"/>
      <c r="I551" s="187"/>
      <c r="J551" s="145"/>
      <c r="K551" s="187"/>
      <c r="L551" s="145"/>
      <c r="M551" s="146"/>
      <c r="N551" s="115"/>
      <c r="O551" s="115"/>
      <c r="P551" s="116"/>
      <c r="Q551" s="116"/>
      <c r="R551" s="147"/>
    </row>
    <row r="552" spans="1:18" s="148" customFormat="1" ht="18" customHeight="1" x14ac:dyDescent="0.25">
      <c r="A552" s="185">
        <v>10</v>
      </c>
      <c r="B552" s="140"/>
      <c r="C552" s="140"/>
      <c r="D552" s="140"/>
      <c r="E552" s="156" t="s">
        <v>103</v>
      </c>
      <c r="F552" s="140"/>
      <c r="G552" s="142"/>
      <c r="H552" s="143" t="s">
        <v>903</v>
      </c>
      <c r="I552" s="187" t="s">
        <v>449</v>
      </c>
      <c r="J552" s="145">
        <f>12541*12</f>
        <v>150492</v>
      </c>
      <c r="K552" s="187" t="s">
        <v>449</v>
      </c>
      <c r="L552" s="145">
        <v>157008</v>
      </c>
      <c r="M552" s="146">
        <f>L552-J552</f>
        <v>6516</v>
      </c>
      <c r="N552" s="115">
        <f>L552-J552</f>
        <v>6516</v>
      </c>
      <c r="O552" s="115">
        <f>N552-M552</f>
        <v>0</v>
      </c>
      <c r="P552" s="116">
        <v>11459</v>
      </c>
      <c r="Q552" s="116">
        <f>P552*12</f>
        <v>137508</v>
      </c>
      <c r="R552" s="147">
        <f>Q552-L552</f>
        <v>-19500</v>
      </c>
    </row>
    <row r="553" spans="1:18" s="148" customFormat="1" ht="18" customHeight="1" x14ac:dyDescent="0.25">
      <c r="A553" s="185"/>
      <c r="B553" s="140"/>
      <c r="C553" s="140"/>
      <c r="D553" s="140"/>
      <c r="E553" s="156"/>
      <c r="F553" s="140"/>
      <c r="G553" s="142"/>
      <c r="H553" s="143"/>
      <c r="I553" s="187"/>
      <c r="J553" s="145"/>
      <c r="K553" s="187"/>
      <c r="L553" s="145"/>
      <c r="M553" s="146"/>
      <c r="N553" s="115"/>
      <c r="O553" s="115"/>
      <c r="P553" s="116"/>
      <c r="Q553" s="116"/>
      <c r="R553" s="147"/>
    </row>
    <row r="554" spans="1:18" s="148" customFormat="1" ht="18" customHeight="1" x14ac:dyDescent="0.25">
      <c r="A554" s="185"/>
      <c r="B554" s="140"/>
      <c r="C554" s="140"/>
      <c r="D554" s="140"/>
      <c r="E554" s="156"/>
      <c r="F554" s="140"/>
      <c r="G554" s="142"/>
      <c r="H554" s="143"/>
      <c r="I554" s="187"/>
      <c r="J554" s="145"/>
      <c r="K554" s="187"/>
      <c r="L554" s="145"/>
      <c r="M554" s="146"/>
      <c r="N554" s="115"/>
      <c r="O554" s="115"/>
      <c r="P554" s="116"/>
      <c r="Q554" s="116"/>
      <c r="R554" s="117"/>
    </row>
    <row r="555" spans="1:18" s="148" customFormat="1" ht="18" customHeight="1" x14ac:dyDescent="0.25">
      <c r="A555" s="185">
        <v>11</v>
      </c>
      <c r="B555" s="140"/>
      <c r="C555" s="140"/>
      <c r="D555" s="140"/>
      <c r="E555" s="156" t="s">
        <v>103</v>
      </c>
      <c r="F555" s="140"/>
      <c r="G555" s="142"/>
      <c r="H555" s="143" t="s">
        <v>984</v>
      </c>
      <c r="I555" s="187" t="s">
        <v>1554</v>
      </c>
      <c r="J555" s="145">
        <f>12445*12</f>
        <v>149340</v>
      </c>
      <c r="K555" s="187" t="s">
        <v>1554</v>
      </c>
      <c r="L555" s="145">
        <v>155808</v>
      </c>
      <c r="M555" s="146">
        <f>L555-J555</f>
        <v>6468</v>
      </c>
      <c r="N555" s="115">
        <f>L555-J555</f>
        <v>6468</v>
      </c>
      <c r="O555" s="115">
        <f>N555-M555</f>
        <v>0</v>
      </c>
      <c r="P555" s="116">
        <v>11459</v>
      </c>
      <c r="Q555" s="116">
        <f>P555*12</f>
        <v>137508</v>
      </c>
      <c r="R555" s="147">
        <f>Q555-L555</f>
        <v>-18300</v>
      </c>
    </row>
    <row r="556" spans="1:18" s="148" customFormat="1" ht="18" customHeight="1" x14ac:dyDescent="0.25">
      <c r="A556" s="185"/>
      <c r="B556" s="140"/>
      <c r="C556" s="140"/>
      <c r="D556" s="140"/>
      <c r="E556" s="156"/>
      <c r="F556" s="140"/>
      <c r="G556" s="142"/>
      <c r="H556" s="143"/>
      <c r="I556" s="187"/>
      <c r="J556" s="145"/>
      <c r="K556" s="187"/>
      <c r="L556" s="145"/>
      <c r="M556" s="146"/>
      <c r="N556" s="115"/>
      <c r="O556" s="115"/>
      <c r="P556" s="116"/>
      <c r="Q556" s="116"/>
      <c r="R556" s="147"/>
    </row>
    <row r="557" spans="1:18" s="148" customFormat="1" ht="18" customHeight="1" x14ac:dyDescent="0.25">
      <c r="A557" s="185"/>
      <c r="B557" s="140"/>
      <c r="C557" s="140"/>
      <c r="D557" s="140"/>
      <c r="E557" s="156"/>
      <c r="F557" s="140"/>
      <c r="G557" s="142"/>
      <c r="H557" s="143"/>
      <c r="I557" s="197"/>
      <c r="J557" s="145"/>
      <c r="K557" s="197"/>
      <c r="L557" s="145"/>
      <c r="M557" s="146"/>
      <c r="N557" s="115"/>
      <c r="O557" s="115"/>
      <c r="P557" s="116"/>
      <c r="Q557" s="116"/>
      <c r="R557" s="117"/>
    </row>
    <row r="558" spans="1:18" s="148" customFormat="1" ht="18" customHeight="1" x14ac:dyDescent="0.25">
      <c r="A558" s="185">
        <v>12</v>
      </c>
      <c r="B558" s="140"/>
      <c r="C558" s="140"/>
      <c r="D558" s="140"/>
      <c r="E558" s="156" t="s">
        <v>59</v>
      </c>
      <c r="F558" s="140"/>
      <c r="G558" s="142"/>
      <c r="H558" s="143" t="s">
        <v>1555</v>
      </c>
      <c r="I558" s="187" t="s">
        <v>252</v>
      </c>
      <c r="J558" s="145">
        <f>11066*12</f>
        <v>132792</v>
      </c>
      <c r="K558" s="187" t="s">
        <v>252</v>
      </c>
      <c r="L558" s="145">
        <v>138432</v>
      </c>
      <c r="M558" s="146">
        <f>L558-J558</f>
        <v>5640</v>
      </c>
      <c r="N558" s="115">
        <f>L558-J558</f>
        <v>5640</v>
      </c>
      <c r="O558" s="115">
        <f>N558-M558</f>
        <v>0</v>
      </c>
      <c r="P558" s="116">
        <v>10127</v>
      </c>
      <c r="Q558" s="116">
        <f>P558*12</f>
        <v>121524</v>
      </c>
      <c r="R558" s="147">
        <f>Q558-L558</f>
        <v>-16908</v>
      </c>
    </row>
    <row r="559" spans="1:18" s="148" customFormat="1" ht="18" customHeight="1" x14ac:dyDescent="0.25">
      <c r="A559" s="185"/>
      <c r="B559" s="140"/>
      <c r="C559" s="140"/>
      <c r="D559" s="140"/>
      <c r="E559" s="156"/>
      <c r="F559" s="140"/>
      <c r="G559" s="142"/>
      <c r="H559" s="143"/>
      <c r="I559" s="187"/>
      <c r="J559" s="145"/>
      <c r="K559" s="187"/>
      <c r="L559" s="145"/>
      <c r="M559" s="146"/>
      <c r="N559" s="115"/>
      <c r="O559" s="115"/>
      <c r="P559" s="116"/>
      <c r="Q559" s="116"/>
      <c r="R559" s="147"/>
    </row>
    <row r="560" spans="1:18" s="148" customFormat="1" ht="18" customHeight="1" x14ac:dyDescent="0.25">
      <c r="A560" s="185"/>
      <c r="B560" s="140"/>
      <c r="C560" s="140"/>
      <c r="D560" s="140"/>
      <c r="E560" s="156"/>
      <c r="F560" s="140"/>
      <c r="G560" s="142"/>
      <c r="H560" s="143"/>
      <c r="I560" s="188"/>
      <c r="J560" s="145"/>
      <c r="K560" s="188"/>
      <c r="L560" s="145"/>
      <c r="M560" s="145"/>
      <c r="N560" s="115"/>
      <c r="O560" s="115"/>
      <c r="P560" s="116"/>
      <c r="Q560" s="116"/>
      <c r="R560" s="117"/>
    </row>
    <row r="561" spans="1:22" s="170" customFormat="1" ht="18" customHeight="1" thickBot="1" x14ac:dyDescent="0.3">
      <c r="A561" s="163"/>
      <c r="B561" s="160"/>
      <c r="C561" s="160"/>
      <c r="D561" s="160"/>
      <c r="E561" s="189"/>
      <c r="F561" s="160"/>
      <c r="G561" s="162"/>
      <c r="H561" s="163" t="s">
        <v>15</v>
      </c>
      <c r="I561" s="190"/>
      <c r="J561" s="166">
        <f>SUM(J518:J560)</f>
        <v>2807700</v>
      </c>
      <c r="K561" s="190"/>
      <c r="L561" s="166"/>
      <c r="M561" s="166">
        <f>SUM(M518:M560)</f>
        <v>118858</v>
      </c>
      <c r="N561" s="167"/>
      <c r="O561" s="167"/>
      <c r="P561" s="168"/>
      <c r="Q561" s="168"/>
      <c r="R561" s="169"/>
    </row>
    <row r="562" spans="1:22" s="148" customFormat="1" ht="18" customHeight="1" thickTop="1" x14ac:dyDescent="0.25">
      <c r="A562" s="140"/>
      <c r="B562" s="140"/>
      <c r="C562" s="140"/>
      <c r="D562" s="140"/>
      <c r="E562" s="140"/>
      <c r="F562" s="140"/>
      <c r="G562" s="157"/>
      <c r="H562" s="157"/>
      <c r="I562" s="140"/>
      <c r="J562" s="173"/>
      <c r="K562" s="154"/>
      <c r="L562" s="172"/>
      <c r="M562" s="173"/>
      <c r="N562" s="115"/>
      <c r="O562" s="115"/>
      <c r="P562" s="116"/>
      <c r="Q562" s="116"/>
      <c r="R562" s="117"/>
    </row>
    <row r="563" spans="1:22" s="148" customFormat="1" ht="18" customHeight="1" x14ac:dyDescent="0.25">
      <c r="A563" s="140"/>
      <c r="B563" s="140"/>
      <c r="C563" s="140"/>
      <c r="D563" s="140"/>
      <c r="E563" s="140"/>
      <c r="F563" s="140"/>
      <c r="G563" s="157"/>
      <c r="H563" s="157"/>
      <c r="I563" s="140"/>
      <c r="J563" s="173"/>
      <c r="K563" s="154"/>
      <c r="L563" s="172"/>
      <c r="M563" s="173"/>
      <c r="N563" s="115"/>
      <c r="O563" s="115"/>
      <c r="P563" s="116"/>
      <c r="Q563" s="116"/>
      <c r="R563" s="117"/>
    </row>
    <row r="564" spans="1:22" s="148" customFormat="1" ht="18" customHeight="1" x14ac:dyDescent="0.25">
      <c r="A564" s="176"/>
      <c r="B564" s="176"/>
      <c r="C564" s="933"/>
      <c r="D564" s="933"/>
      <c r="E564" s="176"/>
      <c r="F564" s="176"/>
      <c r="G564" s="176"/>
      <c r="H564" s="176"/>
      <c r="I564" s="176"/>
      <c r="J564" s="176"/>
      <c r="K564" s="178"/>
      <c r="L564" s="177"/>
      <c r="M564" s="177"/>
      <c r="N564" s="115"/>
      <c r="O564" s="115"/>
      <c r="P564" s="116"/>
      <c r="Q564" s="116"/>
      <c r="R564" s="117"/>
    </row>
    <row r="565" spans="1:22" s="148" customFormat="1" ht="18" customHeight="1" x14ac:dyDescent="0.25">
      <c r="A565" s="175" t="s">
        <v>636</v>
      </c>
      <c r="B565" s="175"/>
      <c r="C565" s="932"/>
      <c r="D565" s="932"/>
      <c r="E565" s="176"/>
      <c r="F565" s="176"/>
      <c r="G565" s="176"/>
      <c r="H565" s="175" t="s">
        <v>637</v>
      </c>
      <c r="I565" s="176"/>
      <c r="K565" s="175" t="s">
        <v>264</v>
      </c>
      <c r="L565" s="177"/>
      <c r="M565" s="177"/>
      <c r="N565" s="115"/>
      <c r="O565" s="115"/>
      <c r="P565" s="116"/>
      <c r="Q565" s="116"/>
      <c r="R565" s="117"/>
    </row>
    <row r="566" spans="1:22" s="148" customFormat="1" ht="18" customHeight="1" x14ac:dyDescent="0.25">
      <c r="A566" s="176"/>
      <c r="B566" s="176"/>
      <c r="C566" s="933"/>
      <c r="D566" s="933"/>
      <c r="E566" s="176"/>
      <c r="F566" s="176"/>
      <c r="G566" s="176"/>
      <c r="H566" s="176"/>
      <c r="I566" s="176"/>
      <c r="J566" s="176"/>
      <c r="K566" s="178"/>
      <c r="L566" s="177"/>
      <c r="M566" s="177"/>
      <c r="N566" s="115"/>
      <c r="O566" s="115"/>
      <c r="P566" s="116"/>
      <c r="Q566" s="116"/>
      <c r="R566" s="117"/>
    </row>
    <row r="567" spans="1:22" s="148" customFormat="1" ht="18" customHeight="1" x14ac:dyDescent="0.25">
      <c r="A567" s="1131" t="s">
        <v>66</v>
      </c>
      <c r="B567" s="1131"/>
      <c r="C567" s="1131"/>
      <c r="D567" s="1131"/>
      <c r="E567" s="1131"/>
      <c r="F567" s="1131"/>
      <c r="G567" s="176"/>
      <c r="H567" s="1131" t="s">
        <v>17</v>
      </c>
      <c r="I567" s="1131"/>
      <c r="J567" s="176"/>
      <c r="K567" s="1131" t="s">
        <v>1493</v>
      </c>
      <c r="L567" s="1131"/>
      <c r="M567" s="1131"/>
      <c r="N567" s="115"/>
      <c r="O567" s="115"/>
      <c r="P567" s="116"/>
      <c r="Q567" s="116"/>
      <c r="R567" s="117"/>
    </row>
    <row r="568" spans="1:22" s="148" customFormat="1" ht="18" customHeight="1" x14ac:dyDescent="0.25">
      <c r="A568" s="1132" t="s">
        <v>437</v>
      </c>
      <c r="B568" s="1132"/>
      <c r="C568" s="1132"/>
      <c r="D568" s="1132"/>
      <c r="E568" s="1132"/>
      <c r="F568" s="1132"/>
      <c r="G568" s="179"/>
      <c r="H568" s="1132" t="s">
        <v>18</v>
      </c>
      <c r="I568" s="1132"/>
      <c r="J568" s="932"/>
      <c r="K568" s="1132" t="s">
        <v>14</v>
      </c>
      <c r="L568" s="1132"/>
      <c r="M568" s="1132"/>
      <c r="N568" s="115"/>
      <c r="O568" s="115"/>
      <c r="P568" s="116"/>
      <c r="Q568" s="116"/>
      <c r="R568" s="117"/>
    </row>
    <row r="569" spans="1:22" ht="18" customHeight="1" x14ac:dyDescent="0.2">
      <c r="A569" s="111" t="s">
        <v>180</v>
      </c>
      <c r="B569" s="111"/>
      <c r="C569" s="930"/>
      <c r="D569" s="930"/>
      <c r="E569" s="1121"/>
      <c r="F569" s="1121"/>
      <c r="G569" s="1121"/>
      <c r="H569" s="930"/>
      <c r="I569" s="930"/>
      <c r="J569" s="930"/>
      <c r="K569" s="1121"/>
      <c r="L569" s="1121"/>
      <c r="M569" s="1121"/>
    </row>
    <row r="570" spans="1:22" ht="18" customHeight="1" x14ac:dyDescent="0.2">
      <c r="A570" s="111"/>
      <c r="B570" s="111"/>
      <c r="C570" s="930"/>
      <c r="D570" s="930"/>
      <c r="E570" s="930"/>
      <c r="F570" s="930"/>
      <c r="G570" s="930"/>
      <c r="H570" s="930"/>
      <c r="I570" s="930"/>
      <c r="J570" s="930"/>
      <c r="K570" s="930"/>
      <c r="L570" s="930"/>
      <c r="M570" s="930"/>
    </row>
    <row r="571" spans="1:22" s="115" customFormat="1" ht="18" customHeight="1" x14ac:dyDescent="0.2">
      <c r="A571" s="111"/>
      <c r="B571" s="111"/>
      <c r="C571" s="930"/>
      <c r="D571" s="930"/>
      <c r="E571" s="930"/>
      <c r="F571" s="930"/>
      <c r="G571" s="930"/>
      <c r="H571" s="930"/>
      <c r="I571" s="930"/>
      <c r="J571" s="930"/>
      <c r="K571" s="930"/>
      <c r="L571" s="930"/>
      <c r="M571" s="930"/>
      <c r="P571" s="116"/>
      <c r="Q571" s="116"/>
      <c r="R571" s="117"/>
      <c r="S571" s="118"/>
      <c r="T571" s="118"/>
      <c r="U571" s="118"/>
      <c r="V571" s="118"/>
    </row>
    <row r="572" spans="1:22" s="115" customFormat="1" ht="18" customHeight="1" x14ac:dyDescent="0.2">
      <c r="A572" s="111"/>
      <c r="B572" s="111"/>
      <c r="C572" s="930"/>
      <c r="D572" s="930"/>
      <c r="E572" s="111"/>
      <c r="F572" s="111"/>
      <c r="G572" s="111"/>
      <c r="H572" s="111"/>
      <c r="I572" s="111"/>
      <c r="J572" s="111"/>
      <c r="K572" s="112"/>
      <c r="L572" s="113"/>
      <c r="M572" s="113"/>
      <c r="P572" s="116"/>
      <c r="Q572" s="116"/>
      <c r="R572" s="117"/>
      <c r="S572" s="118"/>
      <c r="T572" s="118"/>
      <c r="U572" s="118"/>
      <c r="V572" s="118"/>
    </row>
    <row r="573" spans="1:22" s="115" customFormat="1" ht="18" customHeight="1" x14ac:dyDescent="0.2">
      <c r="A573" s="111"/>
      <c r="B573" s="111"/>
      <c r="C573" s="930"/>
      <c r="D573" s="930"/>
      <c r="E573" s="111"/>
      <c r="F573" s="111"/>
      <c r="G573" s="111"/>
      <c r="H573" s="111"/>
      <c r="I573" s="111"/>
      <c r="J573" s="111"/>
      <c r="K573" s="112"/>
      <c r="L573" s="113"/>
      <c r="M573" s="113"/>
      <c r="P573" s="116"/>
      <c r="Q573" s="116"/>
      <c r="R573" s="117"/>
      <c r="S573" s="118"/>
      <c r="T573" s="118"/>
      <c r="U573" s="118"/>
      <c r="V573" s="118"/>
    </row>
    <row r="574" spans="1:22" s="273" customFormat="1" ht="20.100000000000001" customHeight="1" x14ac:dyDescent="0.35">
      <c r="A574" s="1142" t="s">
        <v>1007</v>
      </c>
      <c r="B574" s="1142"/>
      <c r="C574" s="1142"/>
      <c r="D574" s="1142"/>
      <c r="E574" s="1142"/>
      <c r="F574" s="1142"/>
      <c r="G574" s="1142"/>
      <c r="H574" s="1142"/>
      <c r="I574" s="1142"/>
      <c r="J574" s="1142"/>
      <c r="K574" s="1142"/>
      <c r="L574" s="1142"/>
      <c r="M574" s="1142"/>
      <c r="R574" s="181"/>
      <c r="S574" s="181"/>
      <c r="T574" s="181"/>
      <c r="U574" s="181"/>
      <c r="V574" s="181"/>
    </row>
    <row r="575" spans="1:22" s="115" customFormat="1" ht="18" customHeight="1" x14ac:dyDescent="0.2">
      <c r="A575" s="110"/>
      <c r="B575" s="110"/>
      <c r="C575" s="937"/>
      <c r="D575" s="937"/>
      <c r="E575" s="111"/>
      <c r="F575" s="111"/>
      <c r="G575" s="111"/>
      <c r="H575" s="111"/>
      <c r="I575" s="111"/>
      <c r="J575" s="111"/>
      <c r="K575" s="112"/>
      <c r="L575" s="113"/>
      <c r="M575" s="114"/>
      <c r="P575" s="116"/>
      <c r="Q575" s="116"/>
      <c r="R575" s="117"/>
      <c r="S575" s="118"/>
      <c r="T575" s="118"/>
      <c r="U575" s="118"/>
      <c r="V575" s="118"/>
    </row>
    <row r="576" spans="1:22" s="115" customFormat="1" ht="18" customHeight="1" x14ac:dyDescent="0.3">
      <c r="A576" s="1119" t="s">
        <v>1549</v>
      </c>
      <c r="B576" s="1119"/>
      <c r="C576" s="1119"/>
      <c r="D576" s="1119"/>
      <c r="E576" s="1119"/>
      <c r="F576" s="1119"/>
      <c r="G576" s="1119"/>
      <c r="H576" s="1119"/>
      <c r="I576" s="1119"/>
      <c r="J576" s="1119"/>
      <c r="K576" s="1119"/>
      <c r="L576" s="1119"/>
      <c r="M576" s="1119"/>
      <c r="P576" s="116"/>
      <c r="Q576" s="116"/>
      <c r="R576" s="117"/>
      <c r="S576" s="118"/>
      <c r="T576" s="118"/>
      <c r="U576" s="118"/>
      <c r="V576" s="118"/>
    </row>
    <row r="577" spans="1:22" s="115" customFormat="1" ht="18" customHeight="1" x14ac:dyDescent="0.3">
      <c r="A577" s="1120" t="s">
        <v>364</v>
      </c>
      <c r="B577" s="1120"/>
      <c r="C577" s="1120"/>
      <c r="D577" s="1120"/>
      <c r="E577" s="1120"/>
      <c r="F577" s="1120"/>
      <c r="G577" s="1120"/>
      <c r="H577" s="1120"/>
      <c r="I577" s="1120"/>
      <c r="J577" s="1120"/>
      <c r="K577" s="1120"/>
      <c r="L577" s="1120"/>
      <c r="M577" s="1120"/>
      <c r="P577" s="116"/>
      <c r="Q577" s="116"/>
      <c r="R577" s="117"/>
      <c r="S577" s="118"/>
      <c r="T577" s="118"/>
      <c r="U577" s="118"/>
      <c r="V577" s="118"/>
    </row>
    <row r="578" spans="1:22" s="115" customFormat="1" ht="18" customHeight="1" x14ac:dyDescent="0.2">
      <c r="A578" s="1121"/>
      <c r="B578" s="1121"/>
      <c r="C578" s="1121"/>
      <c r="D578" s="1121"/>
      <c r="E578" s="1121"/>
      <c r="F578" s="1121"/>
      <c r="G578" s="1121"/>
      <c r="H578" s="1121"/>
      <c r="I578" s="1121"/>
      <c r="J578" s="1121"/>
      <c r="K578" s="1121"/>
      <c r="L578" s="1121"/>
      <c r="M578" s="1121"/>
      <c r="P578" s="116"/>
      <c r="Q578" s="116"/>
      <c r="R578" s="117"/>
      <c r="S578" s="118"/>
      <c r="T578" s="118"/>
      <c r="U578" s="118"/>
      <c r="V578" s="118"/>
    </row>
    <row r="579" spans="1:22" s="115" customFormat="1" ht="18" customHeight="1" x14ac:dyDescent="0.2">
      <c r="A579" s="930"/>
      <c r="B579" s="930"/>
      <c r="C579" s="930"/>
      <c r="D579" s="930"/>
      <c r="E579" s="930"/>
      <c r="F579" s="930"/>
      <c r="G579" s="930"/>
      <c r="H579" s="930"/>
      <c r="I579" s="930"/>
      <c r="J579" s="930"/>
      <c r="K579" s="930"/>
      <c r="L579" s="930"/>
      <c r="M579" s="930"/>
      <c r="P579" s="116"/>
      <c r="Q579" s="116"/>
      <c r="R579" s="117"/>
      <c r="S579" s="118"/>
      <c r="T579" s="118"/>
      <c r="U579" s="118"/>
      <c r="V579" s="118"/>
    </row>
    <row r="580" spans="1:22" s="115" customFormat="1" ht="18" customHeight="1" x14ac:dyDescent="0.2">
      <c r="A580" s="111" t="s">
        <v>470</v>
      </c>
      <c r="B580" s="111"/>
      <c r="C580" s="111" t="s">
        <v>455</v>
      </c>
      <c r="D580" s="111" t="s">
        <v>322</v>
      </c>
      <c r="E580" s="111"/>
      <c r="F580" s="111"/>
      <c r="G580" s="111"/>
      <c r="H580" s="111"/>
      <c r="I580" s="930"/>
      <c r="J580" s="930"/>
      <c r="K580" s="930"/>
      <c r="L580" s="930"/>
      <c r="M580" s="930"/>
      <c r="P580" s="116"/>
      <c r="Q580" s="116"/>
      <c r="R580" s="117"/>
      <c r="S580" s="118"/>
      <c r="T580" s="118"/>
      <c r="U580" s="118"/>
      <c r="V580" s="118"/>
    </row>
    <row r="581" spans="1:22" s="115" customFormat="1" ht="18" customHeight="1" x14ac:dyDescent="0.25">
      <c r="A581" s="111" t="s">
        <v>458</v>
      </c>
      <c r="B581" s="111"/>
      <c r="C581" s="111" t="s">
        <v>455</v>
      </c>
      <c r="D581" s="111" t="s">
        <v>476</v>
      </c>
      <c r="E581" s="111"/>
      <c r="F581" s="111"/>
      <c r="G581" s="111"/>
      <c r="H581" s="111"/>
      <c r="I581" s="930"/>
      <c r="J581" s="930"/>
      <c r="K581" s="930"/>
      <c r="L581" s="930"/>
      <c r="M581" s="930"/>
      <c r="N581" s="182"/>
      <c r="P581" s="116"/>
      <c r="Q581" s="116"/>
      <c r="R581" s="117"/>
      <c r="S581" s="118"/>
      <c r="T581" s="118"/>
      <c r="U581" s="118"/>
      <c r="V581" s="118"/>
    </row>
    <row r="582" spans="1:22" s="115" customFormat="1" ht="18" customHeight="1" thickBot="1" x14ac:dyDescent="0.3">
      <c r="A582" s="111" t="s">
        <v>462</v>
      </c>
      <c r="B582" s="111"/>
      <c r="C582" s="219" t="s">
        <v>455</v>
      </c>
      <c r="D582" s="111" t="s">
        <v>688</v>
      </c>
      <c r="E582" s="111"/>
      <c r="F582" s="111"/>
      <c r="G582" s="111"/>
      <c r="H582" s="111"/>
      <c r="I582" s="930"/>
      <c r="J582" s="930"/>
      <c r="K582" s="930"/>
      <c r="L582" s="930"/>
      <c r="M582" s="930"/>
      <c r="N582" s="182"/>
      <c r="P582" s="116"/>
      <c r="Q582" s="116"/>
      <c r="R582" s="117"/>
      <c r="S582" s="118"/>
      <c r="T582" s="118"/>
      <c r="U582" s="118"/>
      <c r="V582" s="118"/>
    </row>
    <row r="583" spans="1:22" s="115" customFormat="1" ht="18" customHeight="1" x14ac:dyDescent="0.25">
      <c r="A583" s="1122" t="s">
        <v>642</v>
      </c>
      <c r="B583" s="1123"/>
      <c r="C583" s="1123"/>
      <c r="D583" s="1123"/>
      <c r="E583" s="1124"/>
      <c r="F583" s="1123"/>
      <c r="G583" s="1125"/>
      <c r="H583" s="121"/>
      <c r="I583" s="1126" t="s">
        <v>646</v>
      </c>
      <c r="J583" s="1127"/>
      <c r="K583" s="1126" t="s">
        <v>646</v>
      </c>
      <c r="L583" s="1127"/>
      <c r="M583" s="122"/>
      <c r="N583" s="182"/>
      <c r="P583" s="116"/>
      <c r="Q583" s="116"/>
      <c r="R583" s="117"/>
      <c r="S583" s="118"/>
      <c r="T583" s="118"/>
      <c r="U583" s="118"/>
      <c r="V583" s="118"/>
    </row>
    <row r="584" spans="1:22" s="115" customFormat="1" ht="18" customHeight="1" x14ac:dyDescent="0.2">
      <c r="A584" s="123" t="s">
        <v>643</v>
      </c>
      <c r="B584" s="1133" t="s">
        <v>644</v>
      </c>
      <c r="C584" s="1134"/>
      <c r="D584" s="1135"/>
      <c r="E584" s="1136" t="s">
        <v>45</v>
      </c>
      <c r="F584" s="1137"/>
      <c r="G584" s="1138"/>
      <c r="H584" s="934" t="s">
        <v>46</v>
      </c>
      <c r="I584" s="1136" t="s">
        <v>1492</v>
      </c>
      <c r="J584" s="1138"/>
      <c r="K584" s="1137" t="s">
        <v>1550</v>
      </c>
      <c r="L584" s="1138"/>
      <c r="M584" s="124" t="s">
        <v>47</v>
      </c>
      <c r="P584" s="116"/>
      <c r="Q584" s="116"/>
      <c r="R584" s="117"/>
      <c r="S584" s="118"/>
      <c r="T584" s="118"/>
      <c r="U584" s="118"/>
      <c r="V584" s="118"/>
    </row>
    <row r="585" spans="1:22" s="115" customFormat="1" ht="18" customHeight="1" x14ac:dyDescent="0.2">
      <c r="A585" s="125"/>
      <c r="B585" s="934"/>
      <c r="C585" s="935"/>
      <c r="D585" s="935"/>
      <c r="E585" s="934"/>
      <c r="F585" s="935"/>
      <c r="G585" s="936"/>
      <c r="H585" s="934" t="s">
        <v>48</v>
      </c>
      <c r="I585" s="1139" t="s">
        <v>1551</v>
      </c>
      <c r="J585" s="1140"/>
      <c r="K585" s="1139"/>
      <c r="L585" s="1140"/>
      <c r="M585" s="124" t="s">
        <v>49</v>
      </c>
      <c r="P585" s="116"/>
      <c r="Q585" s="116"/>
      <c r="R585" s="117"/>
      <c r="S585" s="118"/>
      <c r="T585" s="118"/>
      <c r="U585" s="118"/>
      <c r="V585" s="118"/>
    </row>
    <row r="586" spans="1:22" s="115" customFormat="1" ht="18" customHeight="1" x14ac:dyDescent="0.2">
      <c r="A586" s="125"/>
      <c r="B586" s="934"/>
      <c r="C586" s="935"/>
      <c r="D586" s="935"/>
      <c r="E586" s="934"/>
      <c r="F586" s="935"/>
      <c r="G586" s="126"/>
      <c r="H586" s="127"/>
      <c r="I586" s="128" t="s">
        <v>645</v>
      </c>
      <c r="J586" s="129" t="s">
        <v>50</v>
      </c>
      <c r="K586" s="128" t="s">
        <v>645</v>
      </c>
      <c r="L586" s="129" t="s">
        <v>50</v>
      </c>
      <c r="M586" s="124"/>
      <c r="P586" s="116"/>
      <c r="Q586" s="116"/>
      <c r="R586" s="117"/>
      <c r="S586" s="118"/>
      <c r="T586" s="118"/>
      <c r="U586" s="118"/>
      <c r="V586" s="118"/>
    </row>
    <row r="587" spans="1:22" ht="18" customHeight="1" thickBot="1" x14ac:dyDescent="0.25">
      <c r="A587" s="130"/>
      <c r="B587" s="1128"/>
      <c r="C587" s="1129"/>
      <c r="D587" s="1130"/>
      <c r="E587" s="1128"/>
      <c r="F587" s="1129"/>
      <c r="G587" s="1130"/>
      <c r="H587" s="131"/>
      <c r="I587" s="131"/>
      <c r="J587" s="131"/>
      <c r="K587" s="131"/>
      <c r="L587" s="131"/>
      <c r="M587" s="132"/>
    </row>
    <row r="588" spans="1:22" ht="18" customHeight="1" x14ac:dyDescent="0.2">
      <c r="A588" s="183"/>
      <c r="B588" s="119"/>
      <c r="C588" s="119"/>
      <c r="D588" s="119"/>
      <c r="E588" s="133"/>
      <c r="F588" s="119"/>
      <c r="G588" s="134"/>
      <c r="H588" s="135"/>
      <c r="I588" s="184"/>
      <c r="J588" s="137"/>
      <c r="K588" s="184"/>
      <c r="L588" s="137"/>
      <c r="M588" s="137"/>
    </row>
    <row r="589" spans="1:22" s="148" customFormat="1" ht="18" customHeight="1" x14ac:dyDescent="0.25">
      <c r="A589" s="185">
        <v>1</v>
      </c>
      <c r="B589" s="140"/>
      <c r="C589" s="140"/>
      <c r="D589" s="140"/>
      <c r="E589" s="156" t="s">
        <v>80</v>
      </c>
      <c r="F589" s="140"/>
      <c r="G589" s="142"/>
      <c r="H589" s="232" t="s">
        <v>25</v>
      </c>
      <c r="I589" s="187" t="s">
        <v>906</v>
      </c>
      <c r="J589" s="145">
        <f>75912*12</f>
        <v>910944</v>
      </c>
      <c r="K589" s="187" t="s">
        <v>906</v>
      </c>
      <c r="L589" s="145">
        <v>928800</v>
      </c>
      <c r="M589" s="146">
        <f>L589-J589</f>
        <v>17856</v>
      </c>
      <c r="N589" s="115">
        <f>L589-J589</f>
        <v>17856</v>
      </c>
      <c r="O589" s="115">
        <f>N589-M589</f>
        <v>0</v>
      </c>
      <c r="P589" s="116">
        <v>64185</v>
      </c>
      <c r="Q589" s="116">
        <f>P589*12</f>
        <v>770220</v>
      </c>
      <c r="R589" s="147">
        <f>Q589-L589</f>
        <v>-158580</v>
      </c>
    </row>
    <row r="590" spans="1:22" s="148" customFormat="1" ht="18" customHeight="1" x14ac:dyDescent="0.25">
      <c r="A590" s="185"/>
      <c r="B590" s="140"/>
      <c r="C590" s="140"/>
      <c r="D590" s="140"/>
      <c r="E590" s="156" t="s">
        <v>924</v>
      </c>
      <c r="F590" s="140"/>
      <c r="G590" s="142"/>
      <c r="H590" s="143"/>
      <c r="I590" s="187"/>
      <c r="J590" s="145"/>
      <c r="K590" s="187" t="s">
        <v>1556</v>
      </c>
      <c r="L590" s="145">
        <v>943956</v>
      </c>
      <c r="M590" s="145">
        <v>3789</v>
      </c>
      <c r="N590" s="115"/>
      <c r="O590" s="115"/>
      <c r="P590" s="116">
        <v>65147</v>
      </c>
      <c r="Q590" s="116">
        <f>P590*12</f>
        <v>781764</v>
      </c>
      <c r="R590" s="147">
        <f>Q590-L590</f>
        <v>-162192</v>
      </c>
    </row>
    <row r="591" spans="1:22" s="148" customFormat="1" ht="18" customHeight="1" x14ac:dyDescent="0.25">
      <c r="A591" s="185"/>
      <c r="B591" s="140"/>
      <c r="C591" s="140"/>
      <c r="D591" s="140"/>
      <c r="E591" s="156"/>
      <c r="F591" s="140"/>
      <c r="G591" s="142"/>
      <c r="H591" s="143"/>
      <c r="I591" s="187"/>
      <c r="J591" s="151"/>
      <c r="K591" s="187"/>
      <c r="L591" s="151">
        <v>44470</v>
      </c>
      <c r="M591" s="145"/>
      <c r="N591" s="115"/>
      <c r="O591" s="115"/>
      <c r="P591" s="116"/>
      <c r="Q591" s="116"/>
      <c r="R591" s="117"/>
    </row>
    <row r="592" spans="1:22" s="148" customFormat="1" ht="18" customHeight="1" x14ac:dyDescent="0.25">
      <c r="A592" s="185"/>
      <c r="B592" s="140"/>
      <c r="C592" s="140"/>
      <c r="D592" s="140"/>
      <c r="E592" s="156"/>
      <c r="F592" s="140"/>
      <c r="G592" s="142"/>
      <c r="H592" s="143"/>
      <c r="I592" s="188"/>
      <c r="J592" s="151"/>
      <c r="K592" s="188"/>
      <c r="L592" s="151"/>
      <c r="M592" s="145"/>
      <c r="N592" s="115"/>
      <c r="O592" s="115"/>
      <c r="P592" s="116"/>
      <c r="Q592" s="116"/>
      <c r="R592" s="117"/>
    </row>
    <row r="593" spans="1:18" s="148" customFormat="1" ht="18" customHeight="1" x14ac:dyDescent="0.25">
      <c r="A593" s="185"/>
      <c r="B593" s="140"/>
      <c r="C593" s="140"/>
      <c r="D593" s="140"/>
      <c r="E593" s="156"/>
      <c r="F593" s="140"/>
      <c r="G593" s="142"/>
      <c r="H593" s="143"/>
      <c r="I593" s="188"/>
      <c r="J593" s="145"/>
      <c r="K593" s="188"/>
      <c r="L593" s="145"/>
      <c r="M593" s="145"/>
      <c r="N593" s="115"/>
      <c r="O593" s="115"/>
      <c r="P593" s="116"/>
      <c r="Q593" s="116"/>
      <c r="R593" s="117"/>
    </row>
    <row r="594" spans="1:18" s="148" customFormat="1" ht="18" customHeight="1" x14ac:dyDescent="0.25">
      <c r="A594" s="185">
        <v>2</v>
      </c>
      <c r="B594" s="140"/>
      <c r="C594" s="140"/>
      <c r="D594" s="140"/>
      <c r="E594" s="156" t="s">
        <v>106</v>
      </c>
      <c r="F594" s="140"/>
      <c r="G594" s="142"/>
      <c r="H594" s="143" t="s">
        <v>104</v>
      </c>
      <c r="I594" s="187" t="s">
        <v>399</v>
      </c>
      <c r="J594" s="145">
        <f>18969*12</f>
        <v>227628</v>
      </c>
      <c r="K594" s="187" t="s">
        <v>399</v>
      </c>
      <c r="L594" s="145">
        <v>243540</v>
      </c>
      <c r="M594" s="146">
        <f>L594-J594</f>
        <v>15912</v>
      </c>
      <c r="N594" s="115">
        <f>L594-J594</f>
        <v>15912</v>
      </c>
      <c r="O594" s="115">
        <f>N594-M594</f>
        <v>0</v>
      </c>
      <c r="P594" s="116">
        <v>17593</v>
      </c>
      <c r="Q594" s="116">
        <f>P594*12</f>
        <v>211116</v>
      </c>
      <c r="R594" s="147">
        <f>Q594-L594</f>
        <v>-32424</v>
      </c>
    </row>
    <row r="595" spans="1:18" s="148" customFormat="1" ht="18" customHeight="1" x14ac:dyDescent="0.25">
      <c r="A595" s="185"/>
      <c r="B595" s="140"/>
      <c r="C595" s="140"/>
      <c r="D595" s="140"/>
      <c r="E595" s="156" t="s">
        <v>87</v>
      </c>
      <c r="F595" s="140"/>
      <c r="G595" s="142"/>
      <c r="H595" s="143"/>
      <c r="I595" s="187"/>
      <c r="J595" s="145"/>
      <c r="K595" s="187"/>
      <c r="L595" s="145"/>
      <c r="M595" s="146"/>
      <c r="N595" s="115"/>
      <c r="O595" s="115"/>
      <c r="P595" s="116"/>
      <c r="Q595" s="116"/>
      <c r="R595" s="147"/>
    </row>
    <row r="596" spans="1:18" s="148" customFormat="1" ht="18" customHeight="1" x14ac:dyDescent="0.25">
      <c r="A596" s="185"/>
      <c r="B596" s="140"/>
      <c r="C596" s="140"/>
      <c r="D596" s="140"/>
      <c r="E596" s="156"/>
      <c r="F596" s="140"/>
      <c r="G596" s="142"/>
      <c r="H596" s="143"/>
      <c r="I596" s="188"/>
      <c r="J596" s="151"/>
      <c r="K596" s="188"/>
      <c r="L596" s="151"/>
      <c r="M596" s="145"/>
      <c r="N596" s="115"/>
      <c r="O596" s="115"/>
      <c r="P596" s="116"/>
      <c r="Q596" s="116"/>
      <c r="R596" s="117"/>
    </row>
    <row r="597" spans="1:18" s="148" customFormat="1" ht="18" customHeight="1" x14ac:dyDescent="0.25">
      <c r="A597" s="185"/>
      <c r="B597" s="140"/>
      <c r="C597" s="140"/>
      <c r="D597" s="140"/>
      <c r="E597" s="156"/>
      <c r="F597" s="140"/>
      <c r="G597" s="142"/>
      <c r="H597" s="143"/>
      <c r="I597" s="188"/>
      <c r="J597" s="151"/>
      <c r="K597" s="188"/>
      <c r="L597" s="151"/>
      <c r="M597" s="145"/>
      <c r="N597" s="115"/>
      <c r="O597" s="115"/>
      <c r="P597" s="116"/>
      <c r="Q597" s="116"/>
      <c r="R597" s="117"/>
    </row>
    <row r="598" spans="1:18" s="148" customFormat="1" ht="18" customHeight="1" x14ac:dyDescent="0.25">
      <c r="A598" s="185"/>
      <c r="B598" s="140"/>
      <c r="C598" s="140"/>
      <c r="D598" s="140"/>
      <c r="E598" s="156"/>
      <c r="F598" s="140"/>
      <c r="G598" s="142"/>
      <c r="H598" s="143"/>
      <c r="I598" s="188"/>
      <c r="J598" s="151"/>
      <c r="K598" s="188"/>
      <c r="L598" s="151"/>
      <c r="M598" s="145"/>
      <c r="N598" s="115"/>
      <c r="O598" s="115"/>
      <c r="P598" s="116"/>
      <c r="Q598" s="116"/>
      <c r="R598" s="117"/>
    </row>
    <row r="599" spans="1:18" s="148" customFormat="1" ht="18" customHeight="1" x14ac:dyDescent="0.25">
      <c r="A599" s="185">
        <v>3</v>
      </c>
      <c r="B599" s="140"/>
      <c r="C599" s="140"/>
      <c r="D599" s="140"/>
      <c r="E599" s="156" t="s">
        <v>108</v>
      </c>
      <c r="F599" s="140"/>
      <c r="G599" s="142"/>
      <c r="H599" s="143" t="s">
        <v>290</v>
      </c>
      <c r="I599" s="187" t="s">
        <v>249</v>
      </c>
      <c r="J599" s="145">
        <f>13195*12</f>
        <v>158340</v>
      </c>
      <c r="K599" s="187" t="s">
        <v>249</v>
      </c>
      <c r="L599" s="145">
        <v>165240</v>
      </c>
      <c r="M599" s="146">
        <f>L599-J599</f>
        <v>6900</v>
      </c>
      <c r="N599" s="115">
        <f>L599-J599</f>
        <v>6900</v>
      </c>
      <c r="O599" s="115">
        <f>N599-M599</f>
        <v>0</v>
      </c>
      <c r="P599" s="116">
        <v>12290</v>
      </c>
      <c r="Q599" s="116">
        <f>P599*12</f>
        <v>147480</v>
      </c>
      <c r="R599" s="147">
        <f>Q599-L599</f>
        <v>-17760</v>
      </c>
    </row>
    <row r="600" spans="1:18" s="148" customFormat="1" ht="18" customHeight="1" x14ac:dyDescent="0.25">
      <c r="A600" s="185"/>
      <c r="B600" s="140"/>
      <c r="C600" s="140"/>
      <c r="D600" s="140"/>
      <c r="E600" s="156"/>
      <c r="F600" s="140"/>
      <c r="G600" s="142"/>
      <c r="H600" s="143"/>
      <c r="I600" s="187"/>
      <c r="J600" s="145"/>
      <c r="K600" s="187"/>
      <c r="L600" s="145"/>
      <c r="M600" s="146"/>
      <c r="N600" s="115"/>
      <c r="O600" s="115"/>
      <c r="P600" s="116"/>
      <c r="Q600" s="116"/>
      <c r="R600" s="147"/>
    </row>
    <row r="601" spans="1:18" s="148" customFormat="1" ht="18" customHeight="1" x14ac:dyDescent="0.25">
      <c r="A601" s="185"/>
      <c r="B601" s="140"/>
      <c r="C601" s="140"/>
      <c r="D601" s="140"/>
      <c r="E601" s="156"/>
      <c r="F601" s="140"/>
      <c r="G601" s="142"/>
      <c r="H601" s="143"/>
      <c r="I601" s="187"/>
      <c r="J601" s="151"/>
      <c r="K601" s="187"/>
      <c r="L601" s="151"/>
      <c r="M601" s="146"/>
      <c r="N601" s="115"/>
      <c r="O601" s="115"/>
      <c r="P601" s="116"/>
      <c r="Q601" s="116"/>
      <c r="R601" s="117"/>
    </row>
    <row r="602" spans="1:18" s="148" customFormat="1" ht="18" customHeight="1" x14ac:dyDescent="0.25">
      <c r="A602" s="185"/>
      <c r="B602" s="140"/>
      <c r="C602" s="140"/>
      <c r="D602" s="140"/>
      <c r="E602" s="156"/>
      <c r="F602" s="140"/>
      <c r="G602" s="142"/>
      <c r="H602" s="143"/>
      <c r="I602" s="187"/>
      <c r="J602" s="151"/>
      <c r="K602" s="187"/>
      <c r="L602" s="151"/>
      <c r="M602" s="146"/>
      <c r="N602" s="115"/>
      <c r="O602" s="115"/>
      <c r="P602" s="116"/>
      <c r="Q602" s="116"/>
      <c r="R602" s="117"/>
    </row>
    <row r="603" spans="1:18" s="148" customFormat="1" ht="18" customHeight="1" x14ac:dyDescent="0.25">
      <c r="A603" s="185"/>
      <c r="B603" s="140"/>
      <c r="C603" s="140"/>
      <c r="D603" s="140"/>
      <c r="E603" s="156"/>
      <c r="F603" s="140"/>
      <c r="G603" s="142"/>
      <c r="H603" s="143"/>
      <c r="I603" s="188"/>
      <c r="J603" s="145"/>
      <c r="K603" s="188"/>
      <c r="L603" s="145"/>
      <c r="M603" s="145"/>
      <c r="N603" s="115"/>
      <c r="O603" s="115"/>
      <c r="P603" s="116"/>
      <c r="Q603" s="116"/>
      <c r="R603" s="117"/>
    </row>
    <row r="604" spans="1:18" s="148" customFormat="1" ht="18" customHeight="1" x14ac:dyDescent="0.25">
      <c r="A604" s="185">
        <v>4</v>
      </c>
      <c r="B604" s="140"/>
      <c r="C604" s="140"/>
      <c r="D604" s="140"/>
      <c r="E604" s="156" t="s">
        <v>109</v>
      </c>
      <c r="F604" s="140"/>
      <c r="G604" s="142"/>
      <c r="H604" s="143" t="s">
        <v>1638</v>
      </c>
      <c r="I604" s="187" t="s">
        <v>250</v>
      </c>
      <c r="J604" s="145">
        <f>11917*12</f>
        <v>143004</v>
      </c>
      <c r="K604" s="187" t="s">
        <v>57</v>
      </c>
      <c r="L604" s="145">
        <v>146880</v>
      </c>
      <c r="M604" s="146">
        <f>L604-J604</f>
        <v>3876</v>
      </c>
      <c r="N604" s="115">
        <f>L604-J604</f>
        <v>3876</v>
      </c>
      <c r="O604" s="115">
        <f>N604-M604</f>
        <v>0</v>
      </c>
      <c r="P604" s="116">
        <v>10861</v>
      </c>
      <c r="Q604" s="116">
        <f>P604*12</f>
        <v>130332</v>
      </c>
      <c r="R604" s="147">
        <f>Q604-L604</f>
        <v>-16548</v>
      </c>
    </row>
    <row r="605" spans="1:18" s="148" customFormat="1" ht="18" customHeight="1" x14ac:dyDescent="0.25">
      <c r="A605" s="185"/>
      <c r="B605" s="140"/>
      <c r="C605" s="140"/>
      <c r="D605" s="140"/>
      <c r="E605" s="156"/>
      <c r="F605" s="140"/>
      <c r="G605" s="142"/>
      <c r="H605" s="143"/>
      <c r="I605" s="187"/>
      <c r="J605" s="151"/>
      <c r="K605" s="187"/>
      <c r="L605" s="151"/>
      <c r="M605" s="146"/>
      <c r="N605" s="115"/>
      <c r="O605" s="115"/>
      <c r="P605" s="116"/>
      <c r="Q605" s="116"/>
      <c r="R605" s="117"/>
    </row>
    <row r="606" spans="1:18" s="148" customFormat="1" ht="18" customHeight="1" x14ac:dyDescent="0.25">
      <c r="A606" s="185"/>
      <c r="B606" s="140"/>
      <c r="C606" s="140"/>
      <c r="D606" s="140"/>
      <c r="E606" s="156"/>
      <c r="F606" s="140"/>
      <c r="G606" s="142"/>
      <c r="H606" s="143"/>
      <c r="I606" s="187"/>
      <c r="J606" s="151"/>
      <c r="K606" s="187"/>
      <c r="L606" s="151"/>
      <c r="M606" s="146"/>
      <c r="N606" s="115"/>
      <c r="O606" s="115"/>
      <c r="P606" s="116"/>
      <c r="Q606" s="116"/>
      <c r="R606" s="117"/>
    </row>
    <row r="607" spans="1:18" s="148" customFormat="1" ht="18" customHeight="1" x14ac:dyDescent="0.25">
      <c r="A607" s="185"/>
      <c r="B607" s="140"/>
      <c r="C607" s="140"/>
      <c r="D607" s="140"/>
      <c r="E607" s="156"/>
      <c r="F607" s="140"/>
      <c r="G607" s="142"/>
      <c r="H607" s="143"/>
      <c r="I607" s="187"/>
      <c r="J607" s="151"/>
      <c r="K607" s="187"/>
      <c r="L607" s="151"/>
      <c r="M607" s="146"/>
      <c r="N607" s="115"/>
      <c r="O607" s="115"/>
      <c r="P607" s="116"/>
      <c r="Q607" s="116"/>
      <c r="R607" s="117"/>
    </row>
    <row r="608" spans="1:18" s="148" customFormat="1" ht="18" customHeight="1" x14ac:dyDescent="0.25">
      <c r="A608" s="185"/>
      <c r="B608" s="140"/>
      <c r="C608" s="140"/>
      <c r="D608" s="140"/>
      <c r="E608" s="156"/>
      <c r="F608" s="140"/>
      <c r="G608" s="142"/>
      <c r="H608" s="143"/>
      <c r="I608" s="188"/>
      <c r="J608" s="151"/>
      <c r="K608" s="188"/>
      <c r="L608" s="151"/>
      <c r="M608" s="145"/>
      <c r="N608" s="115"/>
      <c r="O608" s="115"/>
      <c r="P608" s="116"/>
      <c r="Q608" s="116"/>
      <c r="R608" s="117"/>
    </row>
    <row r="609" spans="1:18" s="148" customFormat="1" ht="18" customHeight="1" x14ac:dyDescent="0.25">
      <c r="A609" s="185">
        <v>5</v>
      </c>
      <c r="B609" s="140"/>
      <c r="C609" s="140"/>
      <c r="D609" s="140"/>
      <c r="E609" s="156" t="s">
        <v>110</v>
      </c>
      <c r="F609" s="140"/>
      <c r="G609" s="142"/>
      <c r="H609" s="143" t="s">
        <v>111</v>
      </c>
      <c r="I609" s="187" t="s">
        <v>1498</v>
      </c>
      <c r="J609" s="145">
        <f>12101*12</f>
        <v>145212</v>
      </c>
      <c r="K609" s="187" t="s">
        <v>1498</v>
      </c>
      <c r="L609" s="145">
        <v>151452</v>
      </c>
      <c r="M609" s="146">
        <f>L609-J609</f>
        <v>6240</v>
      </c>
      <c r="N609" s="115">
        <f>L609-J609</f>
        <v>6240</v>
      </c>
      <c r="O609" s="115">
        <f>N609-M609</f>
        <v>0</v>
      </c>
      <c r="P609" s="116">
        <v>11042</v>
      </c>
      <c r="Q609" s="116">
        <f>P609*12</f>
        <v>132504</v>
      </c>
      <c r="R609" s="147">
        <f>Q609-L609</f>
        <v>-18948</v>
      </c>
    </row>
    <row r="610" spans="1:18" s="148" customFormat="1" ht="18" customHeight="1" x14ac:dyDescent="0.25">
      <c r="A610" s="185"/>
      <c r="B610" s="140"/>
      <c r="C610" s="140"/>
      <c r="D610" s="140"/>
      <c r="E610" s="156"/>
      <c r="F610" s="140"/>
      <c r="G610" s="142"/>
      <c r="H610" s="143"/>
      <c r="I610" s="188"/>
      <c r="J610" s="151"/>
      <c r="K610" s="188"/>
      <c r="L610" s="151"/>
      <c r="M610" s="145"/>
      <c r="N610" s="115"/>
      <c r="O610" s="115"/>
      <c r="P610" s="116"/>
      <c r="Q610" s="116"/>
      <c r="R610" s="117"/>
    </row>
    <row r="611" spans="1:18" s="148" customFormat="1" ht="18" customHeight="1" x14ac:dyDescent="0.25">
      <c r="A611" s="185"/>
      <c r="B611" s="140"/>
      <c r="C611" s="140"/>
      <c r="D611" s="140"/>
      <c r="E611" s="156"/>
      <c r="F611" s="140"/>
      <c r="G611" s="142"/>
      <c r="H611" s="143"/>
      <c r="I611" s="188"/>
      <c r="J611" s="151"/>
      <c r="K611" s="188"/>
      <c r="L611" s="151"/>
      <c r="M611" s="145"/>
      <c r="N611" s="115"/>
      <c r="O611" s="115"/>
      <c r="P611" s="116"/>
      <c r="Q611" s="116"/>
      <c r="R611" s="117"/>
    </row>
    <row r="612" spans="1:18" s="148" customFormat="1" ht="18" customHeight="1" x14ac:dyDescent="0.25">
      <c r="A612" s="185"/>
      <c r="B612" s="140"/>
      <c r="C612" s="140"/>
      <c r="D612" s="140"/>
      <c r="E612" s="156"/>
      <c r="F612" s="140"/>
      <c r="G612" s="142"/>
      <c r="H612" s="143"/>
      <c r="I612" s="188"/>
      <c r="J612" s="151"/>
      <c r="K612" s="188"/>
      <c r="L612" s="151"/>
      <c r="M612" s="145"/>
      <c r="N612" s="115"/>
      <c r="O612" s="115"/>
      <c r="P612" s="116"/>
      <c r="Q612" s="116"/>
      <c r="R612" s="117"/>
    </row>
    <row r="613" spans="1:18" s="148" customFormat="1" ht="18" customHeight="1" x14ac:dyDescent="0.25">
      <c r="A613" s="185"/>
      <c r="B613" s="140"/>
      <c r="C613" s="140"/>
      <c r="D613" s="140"/>
      <c r="E613" s="156"/>
      <c r="F613" s="140"/>
      <c r="G613" s="142"/>
      <c r="H613" s="143"/>
      <c r="I613" s="188"/>
      <c r="J613" s="151"/>
      <c r="K613" s="188"/>
      <c r="L613" s="151"/>
      <c r="M613" s="145"/>
      <c r="N613" s="115"/>
      <c r="O613" s="115"/>
      <c r="P613" s="116"/>
      <c r="Q613" s="116"/>
      <c r="R613" s="117"/>
    </row>
    <row r="614" spans="1:18" s="148" customFormat="1" ht="18" customHeight="1" x14ac:dyDescent="0.25">
      <c r="A614" s="185">
        <v>6</v>
      </c>
      <c r="B614" s="140"/>
      <c r="C614" s="140"/>
      <c r="D614" s="140"/>
      <c r="E614" s="156" t="s">
        <v>82</v>
      </c>
      <c r="F614" s="140"/>
      <c r="G614" s="142"/>
      <c r="H614" s="143" t="s">
        <v>113</v>
      </c>
      <c r="I614" s="187" t="s">
        <v>83</v>
      </c>
      <c r="J614" s="145">
        <f>13921*12</f>
        <v>167052</v>
      </c>
      <c r="K614" s="187" t="s">
        <v>83</v>
      </c>
      <c r="L614" s="145">
        <v>174336</v>
      </c>
      <c r="M614" s="146">
        <f>L614-J614</f>
        <v>7284</v>
      </c>
      <c r="N614" s="115">
        <f>L614-J614</f>
        <v>7284</v>
      </c>
      <c r="O614" s="115">
        <f>N614-M614</f>
        <v>0</v>
      </c>
      <c r="P614" s="116">
        <v>12912</v>
      </c>
      <c r="Q614" s="116">
        <f>P614*12</f>
        <v>154944</v>
      </c>
      <c r="R614" s="147">
        <f>Q614-L614</f>
        <v>-19392</v>
      </c>
    </row>
    <row r="615" spans="1:18" s="148" customFormat="1" ht="18" customHeight="1" x14ac:dyDescent="0.25">
      <c r="A615" s="185"/>
      <c r="B615" s="140"/>
      <c r="C615" s="140"/>
      <c r="D615" s="140"/>
      <c r="E615" s="156"/>
      <c r="F615" s="140"/>
      <c r="G615" s="142"/>
      <c r="H615" s="143"/>
      <c r="I615" s="188"/>
      <c r="J615" s="145"/>
      <c r="K615" s="188"/>
      <c r="L615" s="145"/>
      <c r="M615" s="145"/>
      <c r="N615" s="115"/>
      <c r="O615" s="115"/>
      <c r="P615" s="116"/>
      <c r="Q615" s="116"/>
      <c r="R615" s="117"/>
    </row>
    <row r="616" spans="1:18" s="148" customFormat="1" ht="18" customHeight="1" x14ac:dyDescent="0.25">
      <c r="A616" s="185"/>
      <c r="B616" s="140"/>
      <c r="C616" s="140"/>
      <c r="D616" s="140"/>
      <c r="E616" s="156"/>
      <c r="F616" s="140"/>
      <c r="G616" s="142"/>
      <c r="H616" s="143"/>
      <c r="I616" s="144"/>
      <c r="J616" s="145"/>
      <c r="K616" s="144"/>
      <c r="L616" s="145"/>
      <c r="M616" s="145"/>
      <c r="N616" s="115"/>
      <c r="O616" s="115"/>
      <c r="P616" s="116"/>
      <c r="Q616" s="116"/>
      <c r="R616" s="117"/>
    </row>
    <row r="617" spans="1:18" s="148" customFormat="1" ht="18" customHeight="1" x14ac:dyDescent="0.25">
      <c r="A617" s="185"/>
      <c r="B617" s="140"/>
      <c r="C617" s="140"/>
      <c r="D617" s="140"/>
      <c r="E617" s="156"/>
      <c r="F617" s="140"/>
      <c r="G617" s="142"/>
      <c r="H617" s="143"/>
      <c r="I617" s="144"/>
      <c r="J617" s="145"/>
      <c r="K617" s="144"/>
      <c r="L617" s="145"/>
      <c r="M617" s="145"/>
      <c r="N617" s="115"/>
      <c r="O617" s="115"/>
      <c r="P617" s="116"/>
      <c r="Q617" s="116"/>
      <c r="R617" s="117"/>
    </row>
    <row r="618" spans="1:18" s="148" customFormat="1" ht="18" customHeight="1" x14ac:dyDescent="0.25">
      <c r="A618" s="185"/>
      <c r="B618" s="140"/>
      <c r="C618" s="140"/>
      <c r="D618" s="140"/>
      <c r="E618" s="156"/>
      <c r="F618" s="140"/>
      <c r="G618" s="142"/>
      <c r="H618" s="143"/>
      <c r="I618" s="144"/>
      <c r="J618" s="145"/>
      <c r="K618" s="144"/>
      <c r="L618" s="145"/>
      <c r="M618" s="145"/>
      <c r="N618" s="115"/>
      <c r="O618" s="115"/>
      <c r="P618" s="116"/>
      <c r="Q618" s="116"/>
      <c r="R618" s="117"/>
    </row>
    <row r="619" spans="1:18" s="148" customFormat="1" ht="18" customHeight="1" x14ac:dyDescent="0.25">
      <c r="A619" s="185"/>
      <c r="B619" s="140"/>
      <c r="C619" s="140"/>
      <c r="D619" s="140"/>
      <c r="E619" s="156"/>
      <c r="F619" s="140"/>
      <c r="G619" s="142"/>
      <c r="H619" s="143"/>
      <c r="I619" s="144"/>
      <c r="J619" s="145"/>
      <c r="K619" s="144"/>
      <c r="L619" s="145"/>
      <c r="M619" s="145"/>
      <c r="N619" s="115"/>
      <c r="O619" s="115"/>
      <c r="P619" s="116"/>
      <c r="Q619" s="116"/>
      <c r="R619" s="117"/>
    </row>
    <row r="620" spans="1:18" s="148" customFormat="1" ht="18" customHeight="1" x14ac:dyDescent="0.25">
      <c r="A620" s="185"/>
      <c r="B620" s="140"/>
      <c r="C620" s="140"/>
      <c r="D620" s="140"/>
      <c r="E620" s="156"/>
      <c r="F620" s="140"/>
      <c r="G620" s="142"/>
      <c r="H620" s="143"/>
      <c r="I620" s="213"/>
      <c r="J620" s="145"/>
      <c r="K620" s="213"/>
      <c r="L620" s="145"/>
      <c r="M620" s="145"/>
      <c r="N620" s="115"/>
      <c r="O620" s="115"/>
      <c r="P620" s="116"/>
      <c r="Q620" s="116"/>
      <c r="R620" s="117"/>
    </row>
    <row r="621" spans="1:18" s="148" customFormat="1" ht="18" customHeight="1" x14ac:dyDescent="0.25">
      <c r="A621" s="185"/>
      <c r="B621" s="140"/>
      <c r="C621" s="140"/>
      <c r="D621" s="140"/>
      <c r="E621" s="156"/>
      <c r="F621" s="140"/>
      <c r="G621" s="142"/>
      <c r="H621" s="143"/>
      <c r="I621" s="213"/>
      <c r="J621" s="145"/>
      <c r="K621" s="213"/>
      <c r="L621" s="145"/>
      <c r="M621" s="145"/>
      <c r="N621" s="115"/>
      <c r="O621" s="115"/>
      <c r="P621" s="116"/>
      <c r="Q621" s="116"/>
      <c r="R621" s="117"/>
    </row>
    <row r="622" spans="1:18" s="148" customFormat="1" ht="18" customHeight="1" x14ac:dyDescent="0.25">
      <c r="A622" s="185"/>
      <c r="B622" s="140"/>
      <c r="C622" s="140"/>
      <c r="D622" s="140"/>
      <c r="E622" s="156"/>
      <c r="F622" s="140"/>
      <c r="G622" s="142"/>
      <c r="H622" s="143"/>
      <c r="I622" s="213"/>
      <c r="J622" s="145"/>
      <c r="K622" s="213"/>
      <c r="L622" s="145"/>
      <c r="M622" s="145"/>
      <c r="N622" s="115"/>
      <c r="O622" s="115"/>
      <c r="P622" s="116"/>
      <c r="Q622" s="116"/>
      <c r="R622" s="117"/>
    </row>
    <row r="623" spans="1:18" s="148" customFormat="1" ht="18" customHeight="1" x14ac:dyDescent="0.25">
      <c r="A623" s="143"/>
      <c r="B623" s="157"/>
      <c r="C623" s="140"/>
      <c r="D623" s="140"/>
      <c r="E623" s="156"/>
      <c r="F623" s="157"/>
      <c r="G623" s="142"/>
      <c r="H623" s="143"/>
      <c r="I623" s="213"/>
      <c r="J623" s="145"/>
      <c r="K623" s="213"/>
      <c r="L623" s="145"/>
      <c r="M623" s="145"/>
      <c r="N623" s="115"/>
      <c r="O623" s="115"/>
      <c r="P623" s="116"/>
      <c r="Q623" s="116"/>
      <c r="R623" s="117"/>
    </row>
    <row r="624" spans="1:18" s="148" customFormat="1" ht="18" customHeight="1" x14ac:dyDescent="0.25">
      <c r="A624" s="143"/>
      <c r="B624" s="157"/>
      <c r="C624" s="140"/>
      <c r="D624" s="140"/>
      <c r="E624" s="156"/>
      <c r="F624" s="157"/>
      <c r="G624" s="142"/>
      <c r="H624" s="143"/>
      <c r="I624" s="213"/>
      <c r="J624" s="218"/>
      <c r="K624" s="213"/>
      <c r="L624" s="218"/>
      <c r="M624" s="218"/>
      <c r="N624" s="115"/>
      <c r="O624" s="115"/>
      <c r="P624" s="116"/>
      <c r="Q624" s="116"/>
      <c r="R624" s="117"/>
    </row>
    <row r="625" spans="1:18" s="148" customFormat="1" ht="18" customHeight="1" x14ac:dyDescent="0.25">
      <c r="A625" s="143"/>
      <c r="B625" s="157"/>
      <c r="C625" s="140"/>
      <c r="D625" s="140"/>
      <c r="E625" s="156"/>
      <c r="F625" s="157"/>
      <c r="G625" s="142"/>
      <c r="H625" s="143"/>
      <c r="I625" s="213"/>
      <c r="J625" s="145"/>
      <c r="K625" s="213"/>
      <c r="L625" s="145"/>
      <c r="M625" s="218"/>
      <c r="N625" s="115"/>
      <c r="O625" s="115"/>
      <c r="P625" s="116"/>
      <c r="Q625" s="116"/>
      <c r="R625" s="117"/>
    </row>
    <row r="626" spans="1:18" s="148" customFormat="1" ht="18" customHeight="1" x14ac:dyDescent="0.25">
      <c r="A626" s="143"/>
      <c r="B626" s="157"/>
      <c r="C626" s="140"/>
      <c r="D626" s="140"/>
      <c r="E626" s="156"/>
      <c r="F626" s="233"/>
      <c r="G626" s="142"/>
      <c r="H626" s="143"/>
      <c r="I626" s="213"/>
      <c r="J626" s="145"/>
      <c r="K626" s="213"/>
      <c r="L626" s="145"/>
      <c r="M626" s="218"/>
      <c r="N626" s="115"/>
      <c r="O626" s="115"/>
      <c r="P626" s="116"/>
      <c r="Q626" s="116"/>
      <c r="R626" s="117"/>
    </row>
    <row r="627" spans="1:18" s="170" customFormat="1" ht="18" customHeight="1" thickBot="1" x14ac:dyDescent="0.3">
      <c r="A627" s="164"/>
      <c r="B627" s="161"/>
      <c r="C627" s="160"/>
      <c r="D627" s="160"/>
      <c r="E627" s="159"/>
      <c r="F627" s="161"/>
      <c r="G627" s="162"/>
      <c r="H627" s="163" t="s">
        <v>15</v>
      </c>
      <c r="I627" s="217"/>
      <c r="J627" s="165">
        <f>SUM(J588:J626)</f>
        <v>1752180</v>
      </c>
      <c r="K627" s="217"/>
      <c r="L627" s="165"/>
      <c r="M627" s="165">
        <f>SUM(M588:M626)</f>
        <v>61857</v>
      </c>
      <c r="N627" s="167"/>
      <c r="O627" s="167"/>
      <c r="P627" s="168"/>
      <c r="Q627" s="168"/>
      <c r="R627" s="169"/>
    </row>
    <row r="628" spans="1:18" s="148" customFormat="1" ht="18" customHeight="1" thickTop="1" x14ac:dyDescent="0.25">
      <c r="A628" s="157"/>
      <c r="B628" s="157"/>
      <c r="C628" s="140"/>
      <c r="D628" s="140"/>
      <c r="E628" s="157"/>
      <c r="F628" s="157"/>
      <c r="G628" s="157"/>
      <c r="H628" s="157"/>
      <c r="I628" s="157"/>
      <c r="J628" s="171"/>
      <c r="K628" s="231"/>
      <c r="L628" s="173"/>
      <c r="M628" s="173"/>
      <c r="N628" s="115"/>
      <c r="O628" s="115"/>
      <c r="P628" s="116"/>
      <c r="Q628" s="116"/>
      <c r="R628" s="117"/>
    </row>
    <row r="629" spans="1:18" s="148" customFormat="1" ht="18" customHeight="1" x14ac:dyDescent="0.25">
      <c r="A629" s="157"/>
      <c r="B629" s="157"/>
      <c r="C629" s="140"/>
      <c r="D629" s="140"/>
      <c r="E629" s="157"/>
      <c r="F629" s="157"/>
      <c r="G629" s="157"/>
      <c r="H629" s="157"/>
      <c r="I629" s="157"/>
      <c r="J629" s="171"/>
      <c r="K629" s="231"/>
      <c r="L629" s="173"/>
      <c r="M629" s="173"/>
      <c r="N629" s="115"/>
      <c r="O629" s="115"/>
      <c r="P629" s="116"/>
      <c r="Q629" s="116"/>
      <c r="R629" s="117"/>
    </row>
    <row r="630" spans="1:18" s="148" customFormat="1" ht="18" customHeight="1" x14ac:dyDescent="0.25">
      <c r="A630" s="157"/>
      <c r="B630" s="157"/>
      <c r="C630" s="140"/>
      <c r="D630" s="140"/>
      <c r="E630" s="157"/>
      <c r="F630" s="157"/>
      <c r="G630" s="157"/>
      <c r="H630" s="157"/>
      <c r="I630" s="157"/>
      <c r="J630" s="157"/>
      <c r="K630" s="174"/>
      <c r="L630" s="172"/>
      <c r="M630" s="172"/>
      <c r="N630" s="115"/>
      <c r="O630" s="115"/>
      <c r="P630" s="116"/>
      <c r="Q630" s="116"/>
      <c r="R630" s="117"/>
    </row>
    <row r="631" spans="1:18" s="148" customFormat="1" ht="18" customHeight="1" x14ac:dyDescent="0.25">
      <c r="A631" s="175" t="s">
        <v>636</v>
      </c>
      <c r="B631" s="175"/>
      <c r="C631" s="932"/>
      <c r="D631" s="932"/>
      <c r="E631" s="176"/>
      <c r="F631" s="176"/>
      <c r="G631" s="176"/>
      <c r="H631" s="175" t="s">
        <v>637</v>
      </c>
      <c r="I631" s="176"/>
      <c r="K631" s="175" t="s">
        <v>264</v>
      </c>
      <c r="L631" s="177"/>
      <c r="M631" s="177"/>
      <c r="N631" s="115"/>
      <c r="O631" s="115"/>
      <c r="P631" s="116"/>
      <c r="Q631" s="116"/>
      <c r="R631" s="117"/>
    </row>
    <row r="632" spans="1:18" s="148" customFormat="1" ht="18" customHeight="1" x14ac:dyDescent="0.25">
      <c r="A632" s="176"/>
      <c r="B632" s="176"/>
      <c r="C632" s="933"/>
      <c r="D632" s="933"/>
      <c r="E632" s="176"/>
      <c r="F632" s="176"/>
      <c r="G632" s="176"/>
      <c r="H632" s="176"/>
      <c r="I632" s="176"/>
      <c r="J632" s="176"/>
      <c r="K632" s="178"/>
      <c r="L632" s="177"/>
      <c r="M632" s="177"/>
      <c r="N632" s="115"/>
      <c r="O632" s="115"/>
      <c r="P632" s="116"/>
      <c r="Q632" s="116"/>
      <c r="R632" s="117"/>
    </row>
    <row r="633" spans="1:18" s="148" customFormat="1" ht="18" customHeight="1" x14ac:dyDescent="0.25">
      <c r="A633" s="1131" t="s">
        <v>66</v>
      </c>
      <c r="B633" s="1131"/>
      <c r="C633" s="1131"/>
      <c r="D633" s="1131"/>
      <c r="E633" s="1131"/>
      <c r="F633" s="1131"/>
      <c r="G633" s="176"/>
      <c r="H633" s="1131" t="s">
        <v>17</v>
      </c>
      <c r="I633" s="1131"/>
      <c r="J633" s="176"/>
      <c r="K633" s="1131" t="s">
        <v>1493</v>
      </c>
      <c r="L633" s="1131"/>
      <c r="M633" s="1131"/>
      <c r="N633" s="115"/>
      <c r="O633" s="115"/>
      <c r="P633" s="116"/>
      <c r="Q633" s="116"/>
      <c r="R633" s="117"/>
    </row>
    <row r="634" spans="1:18" s="148" customFormat="1" ht="18" customHeight="1" x14ac:dyDescent="0.25">
      <c r="A634" s="1132" t="s">
        <v>437</v>
      </c>
      <c r="B634" s="1132"/>
      <c r="C634" s="1132"/>
      <c r="D634" s="1132"/>
      <c r="E634" s="1132"/>
      <c r="F634" s="1132"/>
      <c r="G634" s="179"/>
      <c r="H634" s="1132" t="s">
        <v>18</v>
      </c>
      <c r="I634" s="1132"/>
      <c r="J634" s="932"/>
      <c r="K634" s="1132" t="s">
        <v>14</v>
      </c>
      <c r="L634" s="1132"/>
      <c r="M634" s="1132"/>
      <c r="N634" s="115"/>
      <c r="O634" s="115"/>
      <c r="P634" s="116"/>
      <c r="Q634" s="116"/>
      <c r="R634" s="117"/>
    </row>
    <row r="635" spans="1:18" ht="18" customHeight="1" x14ac:dyDescent="0.2">
      <c r="A635" s="111"/>
      <c r="B635" s="111"/>
      <c r="C635" s="930"/>
      <c r="D635" s="930"/>
      <c r="E635" s="1121"/>
      <c r="F635" s="1121"/>
      <c r="G635" s="1121"/>
      <c r="H635" s="930"/>
      <c r="I635" s="930"/>
      <c r="J635" s="930"/>
      <c r="K635" s="1121"/>
      <c r="L635" s="1121"/>
      <c r="M635" s="1121"/>
    </row>
    <row r="636" spans="1:18" ht="18" customHeight="1" x14ac:dyDescent="0.2">
      <c r="A636" s="111"/>
      <c r="B636" s="111"/>
      <c r="C636" s="930"/>
      <c r="D636" s="930"/>
      <c r="E636" s="930"/>
      <c r="F636" s="930"/>
      <c r="G636" s="930"/>
      <c r="H636" s="930"/>
      <c r="I636" s="930"/>
      <c r="J636" s="930"/>
      <c r="K636" s="930"/>
      <c r="L636" s="930"/>
      <c r="M636" s="930"/>
    </row>
    <row r="637" spans="1:18" ht="18" customHeight="1" x14ac:dyDescent="0.2">
      <c r="A637" s="111"/>
      <c r="B637" s="111"/>
      <c r="C637" s="930"/>
      <c r="D637" s="930"/>
      <c r="E637" s="930"/>
      <c r="F637" s="930"/>
      <c r="G637" s="930"/>
      <c r="H637" s="930"/>
      <c r="I637" s="930"/>
      <c r="J637" s="930"/>
      <c r="K637" s="930"/>
      <c r="L637" s="930"/>
      <c r="M637" s="930"/>
    </row>
    <row r="638" spans="1:18" ht="18" customHeight="1" x14ac:dyDescent="0.2">
      <c r="A638" s="111"/>
      <c r="B638" s="111"/>
      <c r="C638" s="930"/>
      <c r="D638" s="930"/>
      <c r="E638" s="930"/>
      <c r="F638" s="930"/>
      <c r="G638" s="930"/>
      <c r="H638" s="930"/>
      <c r="I638" s="930"/>
      <c r="J638" s="930"/>
      <c r="K638" s="930"/>
      <c r="L638" s="930"/>
      <c r="M638" s="930"/>
    </row>
    <row r="639" spans="1:18" ht="18" customHeight="1" x14ac:dyDescent="0.2">
      <c r="A639" s="111"/>
      <c r="B639" s="111"/>
      <c r="C639" s="930"/>
      <c r="D639" s="930"/>
      <c r="E639" s="930"/>
      <c r="F639" s="930"/>
      <c r="G639" s="930"/>
      <c r="H639" s="930"/>
      <c r="I639" s="930"/>
      <c r="J639" s="930"/>
      <c r="K639" s="930"/>
      <c r="L639" s="930"/>
      <c r="M639" s="930"/>
    </row>
    <row r="640" spans="1:18" ht="18" customHeight="1" x14ac:dyDescent="0.2">
      <c r="A640" s="111"/>
      <c r="B640" s="111"/>
      <c r="C640" s="930"/>
      <c r="D640" s="930"/>
      <c r="E640" s="930"/>
      <c r="F640" s="930"/>
      <c r="G640" s="930"/>
      <c r="H640" s="930"/>
      <c r="I640" s="930"/>
      <c r="J640" s="930"/>
      <c r="K640" s="930"/>
      <c r="L640" s="930"/>
      <c r="M640" s="930"/>
    </row>
    <row r="641" spans="1:14" ht="18" customHeight="1" x14ac:dyDescent="0.2">
      <c r="A641" s="111"/>
      <c r="B641" s="111"/>
      <c r="C641" s="930"/>
      <c r="D641" s="930"/>
      <c r="E641" s="930"/>
      <c r="F641" s="930"/>
      <c r="G641" s="930"/>
      <c r="H641" s="930"/>
      <c r="I641" s="930"/>
      <c r="J641" s="930"/>
      <c r="K641" s="930"/>
      <c r="L641" s="930"/>
      <c r="M641" s="930"/>
    </row>
    <row r="642" spans="1:14" ht="18" customHeight="1" x14ac:dyDescent="0.2">
      <c r="A642" s="111"/>
      <c r="B642" s="111"/>
      <c r="C642" s="930"/>
      <c r="D642" s="930"/>
      <c r="E642" s="930"/>
      <c r="F642" s="930"/>
      <c r="G642" s="930"/>
      <c r="H642" s="930"/>
      <c r="I642" s="930"/>
      <c r="J642" s="930"/>
      <c r="K642" s="930"/>
      <c r="L642" s="930"/>
      <c r="M642" s="930"/>
    </row>
    <row r="643" spans="1:14" ht="18" customHeight="1" x14ac:dyDescent="0.2">
      <c r="A643" s="111"/>
      <c r="B643" s="111"/>
      <c r="C643" s="930"/>
      <c r="D643" s="930"/>
      <c r="E643" s="930"/>
      <c r="F643" s="930"/>
      <c r="G643" s="930"/>
      <c r="H643" s="930"/>
      <c r="I643" s="930"/>
      <c r="J643" s="930"/>
      <c r="K643" s="930"/>
      <c r="L643" s="930"/>
      <c r="M643" s="930"/>
    </row>
    <row r="644" spans="1:14" ht="18" customHeight="1" x14ac:dyDescent="0.2"/>
    <row r="645" spans="1:14" ht="20.100000000000001" customHeight="1" x14ac:dyDescent="0.35">
      <c r="A645" s="1142" t="s">
        <v>1008</v>
      </c>
      <c r="B645" s="1142"/>
      <c r="C645" s="1142"/>
      <c r="D645" s="1142"/>
      <c r="E645" s="1142"/>
      <c r="F645" s="1142"/>
      <c r="G645" s="1142"/>
      <c r="H645" s="1142"/>
      <c r="I645" s="1142"/>
      <c r="J645" s="1142"/>
      <c r="K645" s="1142"/>
      <c r="L645" s="1142"/>
      <c r="M645" s="1142"/>
    </row>
    <row r="646" spans="1:14" ht="18" customHeight="1" x14ac:dyDescent="0.2">
      <c r="A646" s="110"/>
      <c r="B646" s="110"/>
      <c r="C646" s="937"/>
      <c r="D646" s="937"/>
      <c r="E646" s="111"/>
      <c r="F646" s="111"/>
      <c r="G646" s="111"/>
      <c r="H646" s="111"/>
      <c r="I646" s="111"/>
      <c r="J646" s="111"/>
      <c r="K646" s="112"/>
      <c r="M646" s="114"/>
    </row>
    <row r="647" spans="1:14" ht="18" customHeight="1" x14ac:dyDescent="0.3">
      <c r="A647" s="1119" t="s">
        <v>1549</v>
      </c>
      <c r="B647" s="1119"/>
      <c r="C647" s="1119"/>
      <c r="D647" s="1119"/>
      <c r="E647" s="1119"/>
      <c r="F647" s="1119"/>
      <c r="G647" s="1119"/>
      <c r="H647" s="1119"/>
      <c r="I647" s="1119"/>
      <c r="J647" s="1119"/>
      <c r="K647" s="1119"/>
      <c r="L647" s="1119"/>
      <c r="M647" s="1119"/>
    </row>
    <row r="648" spans="1:14" ht="18" customHeight="1" x14ac:dyDescent="0.3">
      <c r="A648" s="1120" t="s">
        <v>364</v>
      </c>
      <c r="B648" s="1120"/>
      <c r="C648" s="1120"/>
      <c r="D648" s="1120"/>
      <c r="E648" s="1120"/>
      <c r="F648" s="1120"/>
      <c r="G648" s="1120"/>
      <c r="H648" s="1120"/>
      <c r="I648" s="1120"/>
      <c r="J648" s="1120"/>
      <c r="K648" s="1120"/>
      <c r="L648" s="1120"/>
      <c r="M648" s="1120"/>
    </row>
    <row r="649" spans="1:14" ht="18" customHeight="1" x14ac:dyDescent="0.2">
      <c r="A649" s="1121"/>
      <c r="B649" s="1121"/>
      <c r="C649" s="1121"/>
      <c r="D649" s="1121"/>
      <c r="E649" s="1121"/>
      <c r="F649" s="1121"/>
      <c r="G649" s="1121"/>
      <c r="H649" s="1121"/>
      <c r="I649" s="1121"/>
      <c r="J649" s="1121"/>
      <c r="K649" s="1121"/>
      <c r="L649" s="1121"/>
      <c r="M649" s="1121"/>
    </row>
    <row r="650" spans="1:14" ht="18" customHeight="1" x14ac:dyDescent="0.2">
      <c r="A650" s="930"/>
      <c r="B650" s="930"/>
      <c r="C650" s="930"/>
      <c r="D650" s="930"/>
      <c r="E650" s="930"/>
      <c r="F650" s="930"/>
      <c r="G650" s="930"/>
      <c r="H650" s="930"/>
      <c r="I650" s="930"/>
      <c r="J650" s="930"/>
      <c r="K650" s="930"/>
      <c r="L650" s="930"/>
      <c r="M650" s="930"/>
    </row>
    <row r="651" spans="1:14" ht="18" customHeight="1" x14ac:dyDescent="0.2">
      <c r="A651" s="111" t="s">
        <v>457</v>
      </c>
      <c r="B651" s="111"/>
      <c r="C651" s="234" t="s">
        <v>455</v>
      </c>
      <c r="D651" s="111" t="s">
        <v>323</v>
      </c>
      <c r="E651" s="111"/>
      <c r="F651" s="111"/>
      <c r="G651" s="111"/>
      <c r="H651" s="111"/>
      <c r="I651" s="112"/>
      <c r="J651" s="113"/>
      <c r="K651" s="930"/>
      <c r="L651" s="930"/>
      <c r="M651" s="930"/>
    </row>
    <row r="652" spans="1:14" ht="18" customHeight="1" x14ac:dyDescent="0.25">
      <c r="A652" s="111" t="s">
        <v>465</v>
      </c>
      <c r="B652" s="111"/>
      <c r="C652" s="234" t="s">
        <v>455</v>
      </c>
      <c r="D652" s="111" t="s">
        <v>477</v>
      </c>
      <c r="E652" s="111"/>
      <c r="F652" s="111"/>
      <c r="G652" s="111"/>
      <c r="H652" s="111"/>
      <c r="I652" s="112"/>
      <c r="J652" s="113"/>
      <c r="K652" s="930"/>
      <c r="L652" s="930"/>
      <c r="M652" s="930"/>
      <c r="N652" s="182"/>
    </row>
    <row r="653" spans="1:14" ht="18" customHeight="1" thickBot="1" x14ac:dyDescent="0.3">
      <c r="A653" s="111" t="s">
        <v>472</v>
      </c>
      <c r="B653" s="111"/>
      <c r="C653" s="235" t="s">
        <v>455</v>
      </c>
      <c r="D653" s="111" t="s">
        <v>689</v>
      </c>
      <c r="E653" s="111"/>
      <c r="F653" s="111"/>
      <c r="G653" s="111"/>
      <c r="H653" s="111"/>
      <c r="I653" s="112"/>
      <c r="J653" s="113"/>
      <c r="K653" s="930"/>
      <c r="L653" s="930"/>
      <c r="M653" s="930"/>
      <c r="N653" s="182"/>
    </row>
    <row r="654" spans="1:14" ht="18" customHeight="1" x14ac:dyDescent="0.25">
      <c r="A654" s="1122" t="s">
        <v>642</v>
      </c>
      <c r="B654" s="1123"/>
      <c r="C654" s="1123"/>
      <c r="D654" s="1123"/>
      <c r="E654" s="1124"/>
      <c r="F654" s="1123"/>
      <c r="G654" s="1125"/>
      <c r="H654" s="121"/>
      <c r="I654" s="1126" t="s">
        <v>646</v>
      </c>
      <c r="J654" s="1127"/>
      <c r="K654" s="1126" t="s">
        <v>646</v>
      </c>
      <c r="L654" s="1127"/>
      <c r="M654" s="122"/>
      <c r="N654" s="182"/>
    </row>
    <row r="655" spans="1:14" ht="18" customHeight="1" x14ac:dyDescent="0.2">
      <c r="A655" s="123" t="s">
        <v>643</v>
      </c>
      <c r="B655" s="1133" t="s">
        <v>644</v>
      </c>
      <c r="C655" s="1134"/>
      <c r="D655" s="1135"/>
      <c r="E655" s="1136" t="s">
        <v>45</v>
      </c>
      <c r="F655" s="1137"/>
      <c r="G655" s="1138"/>
      <c r="H655" s="934" t="s">
        <v>46</v>
      </c>
      <c r="I655" s="1136" t="s">
        <v>1492</v>
      </c>
      <c r="J655" s="1138"/>
      <c r="K655" s="1137" t="s">
        <v>1550</v>
      </c>
      <c r="L655" s="1138"/>
      <c r="M655" s="124" t="s">
        <v>47</v>
      </c>
    </row>
    <row r="656" spans="1:14" ht="18" customHeight="1" x14ac:dyDescent="0.2">
      <c r="A656" s="125"/>
      <c r="B656" s="934"/>
      <c r="C656" s="935"/>
      <c r="D656" s="935"/>
      <c r="E656" s="934"/>
      <c r="F656" s="935"/>
      <c r="G656" s="936"/>
      <c r="H656" s="934" t="s">
        <v>48</v>
      </c>
      <c r="I656" s="1139" t="s">
        <v>1551</v>
      </c>
      <c r="J656" s="1140"/>
      <c r="K656" s="1139"/>
      <c r="L656" s="1140"/>
      <c r="M656" s="124" t="s">
        <v>49</v>
      </c>
    </row>
    <row r="657" spans="1:18" ht="18" customHeight="1" x14ac:dyDescent="0.2">
      <c r="A657" s="125"/>
      <c r="B657" s="934"/>
      <c r="C657" s="935"/>
      <c r="D657" s="935"/>
      <c r="E657" s="934"/>
      <c r="F657" s="935"/>
      <c r="G657" s="126"/>
      <c r="H657" s="127"/>
      <c r="I657" s="128" t="s">
        <v>645</v>
      </c>
      <c r="J657" s="129" t="s">
        <v>50</v>
      </c>
      <c r="K657" s="128" t="s">
        <v>645</v>
      </c>
      <c r="L657" s="129" t="s">
        <v>50</v>
      </c>
      <c r="M657" s="124"/>
    </row>
    <row r="658" spans="1:18" ht="18" customHeight="1" thickBot="1" x14ac:dyDescent="0.25">
      <c r="A658" s="130"/>
      <c r="B658" s="1128"/>
      <c r="C658" s="1129"/>
      <c r="D658" s="1130"/>
      <c r="E658" s="1128"/>
      <c r="F658" s="1129"/>
      <c r="G658" s="1130"/>
      <c r="H658" s="131"/>
      <c r="I658" s="131"/>
      <c r="J658" s="131"/>
      <c r="K658" s="131"/>
      <c r="L658" s="131"/>
      <c r="M658" s="132"/>
    </row>
    <row r="659" spans="1:18" ht="18" customHeight="1" x14ac:dyDescent="0.2">
      <c r="A659" s="183"/>
      <c r="B659" s="119"/>
      <c r="C659" s="119"/>
      <c r="D659" s="119"/>
      <c r="E659" s="133"/>
      <c r="F659" s="119"/>
      <c r="G659" s="134"/>
      <c r="H659" s="135"/>
      <c r="I659" s="184"/>
      <c r="J659" s="137"/>
      <c r="K659" s="184"/>
      <c r="L659" s="137"/>
      <c r="M659" s="137"/>
    </row>
    <row r="660" spans="1:18" s="148" customFormat="1" ht="18" customHeight="1" x14ac:dyDescent="0.25">
      <c r="A660" s="185">
        <v>1</v>
      </c>
      <c r="B660" s="140"/>
      <c r="C660" s="140"/>
      <c r="D660" s="140"/>
      <c r="E660" s="156" t="s">
        <v>80</v>
      </c>
      <c r="F660" s="140"/>
      <c r="G660" s="142"/>
      <c r="H660" s="143" t="s">
        <v>86</v>
      </c>
      <c r="I660" s="187" t="s">
        <v>69</v>
      </c>
      <c r="J660" s="145">
        <f>72313*12</f>
        <v>867756</v>
      </c>
      <c r="K660" s="187" t="s">
        <v>69</v>
      </c>
      <c r="L660" s="145">
        <v>884772</v>
      </c>
      <c r="M660" s="146">
        <f>L660-J660</f>
        <v>17016</v>
      </c>
      <c r="N660" s="115">
        <f>L660-J660</f>
        <v>17016</v>
      </c>
      <c r="O660" s="115">
        <f>N660-M660</f>
        <v>0</v>
      </c>
      <c r="P660" s="116">
        <v>62304</v>
      </c>
      <c r="Q660" s="116">
        <f>P660*12</f>
        <v>747648</v>
      </c>
      <c r="R660" s="147">
        <f>Q660-L660</f>
        <v>-137124</v>
      </c>
    </row>
    <row r="661" spans="1:18" s="148" customFormat="1" ht="18" customHeight="1" x14ac:dyDescent="0.25">
      <c r="A661" s="185"/>
      <c r="B661" s="140"/>
      <c r="C661" s="140"/>
      <c r="D661" s="140"/>
      <c r="E661" s="156" t="s">
        <v>925</v>
      </c>
      <c r="F661" s="140"/>
      <c r="G661" s="142"/>
      <c r="H661" s="143"/>
      <c r="I661" s="187"/>
      <c r="J661" s="145"/>
      <c r="K661" s="187" t="s">
        <v>225</v>
      </c>
      <c r="L661" s="145">
        <v>899208</v>
      </c>
      <c r="M661" s="145">
        <v>7218</v>
      </c>
      <c r="N661" s="115"/>
      <c r="O661" s="115"/>
      <c r="P661" s="116"/>
      <c r="Q661" s="116"/>
      <c r="R661" s="117"/>
    </row>
    <row r="662" spans="1:18" s="148" customFormat="1" ht="18" customHeight="1" x14ac:dyDescent="0.25">
      <c r="A662" s="185"/>
      <c r="B662" s="140"/>
      <c r="C662" s="140"/>
      <c r="D662" s="140"/>
      <c r="E662" s="156"/>
      <c r="F662" s="140"/>
      <c r="G662" s="142"/>
      <c r="H662" s="143"/>
      <c r="I662" s="187"/>
      <c r="J662" s="145"/>
      <c r="K662" s="187"/>
      <c r="L662" s="151">
        <v>44397</v>
      </c>
      <c r="M662" s="145"/>
      <c r="N662" s="115"/>
      <c r="O662" s="115"/>
      <c r="P662" s="116"/>
      <c r="Q662" s="116"/>
      <c r="R662" s="117"/>
    </row>
    <row r="663" spans="1:18" s="148" customFormat="1" ht="18" customHeight="1" x14ac:dyDescent="0.25">
      <c r="A663" s="185"/>
      <c r="B663" s="140"/>
      <c r="C663" s="140"/>
      <c r="D663" s="140"/>
      <c r="E663" s="156"/>
      <c r="F663" s="140"/>
      <c r="G663" s="142"/>
      <c r="H663" s="143"/>
      <c r="I663" s="144"/>
      <c r="J663" s="236"/>
      <c r="K663" s="144"/>
      <c r="L663" s="236"/>
      <c r="M663" s="145"/>
      <c r="N663" s="115"/>
      <c r="O663" s="115"/>
      <c r="P663" s="116"/>
      <c r="Q663" s="116"/>
      <c r="R663" s="117"/>
    </row>
    <row r="664" spans="1:18" s="148" customFormat="1" ht="18" customHeight="1" x14ac:dyDescent="0.25">
      <c r="A664" s="185">
        <v>2</v>
      </c>
      <c r="B664" s="140"/>
      <c r="C664" s="140"/>
      <c r="D664" s="140"/>
      <c r="E664" s="156" t="s">
        <v>262</v>
      </c>
      <c r="F664" s="140"/>
      <c r="G664" s="142"/>
      <c r="H664" s="143" t="s">
        <v>1504</v>
      </c>
      <c r="I664" s="144" t="s">
        <v>263</v>
      </c>
      <c r="J664" s="145">
        <f>20821*12</f>
        <v>249852</v>
      </c>
      <c r="K664" s="144" t="s">
        <v>263</v>
      </c>
      <c r="L664" s="145">
        <v>265728</v>
      </c>
      <c r="M664" s="146">
        <f>L664-J664</f>
        <v>15876</v>
      </c>
      <c r="N664" s="115">
        <f>L664-J664</f>
        <v>15876</v>
      </c>
      <c r="O664" s="115">
        <f>N664-M664</f>
        <v>0</v>
      </c>
      <c r="P664" s="116">
        <v>18827</v>
      </c>
      <c r="Q664" s="116">
        <f>P664*12</f>
        <v>225924</v>
      </c>
      <c r="R664" s="147">
        <f>Q664-L664</f>
        <v>-39804</v>
      </c>
    </row>
    <row r="665" spans="1:18" s="148" customFormat="1" ht="18" customHeight="1" x14ac:dyDescent="0.25">
      <c r="A665" s="185"/>
      <c r="B665" s="140"/>
      <c r="C665" s="140"/>
      <c r="D665" s="140"/>
      <c r="E665" s="139"/>
      <c r="F665" s="140"/>
      <c r="G665" s="142"/>
      <c r="H665" s="143"/>
      <c r="I665" s="144"/>
      <c r="J665" s="145"/>
      <c r="K665" s="144" t="s">
        <v>1557</v>
      </c>
      <c r="L665" s="145">
        <v>268632</v>
      </c>
      <c r="M665" s="145">
        <v>242</v>
      </c>
      <c r="N665" s="115"/>
      <c r="O665" s="115"/>
      <c r="P665" s="116"/>
      <c r="Q665" s="116"/>
      <c r="R665" s="117"/>
    </row>
    <row r="666" spans="1:18" s="148" customFormat="1" ht="18" customHeight="1" x14ac:dyDescent="0.25">
      <c r="A666" s="185"/>
      <c r="B666" s="140"/>
      <c r="C666" s="140"/>
      <c r="D666" s="140"/>
      <c r="E666" s="139"/>
      <c r="F666" s="140"/>
      <c r="G666" s="142"/>
      <c r="H666" s="143"/>
      <c r="I666" s="144"/>
      <c r="J666" s="145"/>
      <c r="K666" s="144"/>
      <c r="L666" s="151">
        <v>44547</v>
      </c>
      <c r="M666" s="145"/>
      <c r="N666" s="115"/>
      <c r="O666" s="115"/>
      <c r="P666" s="116"/>
      <c r="Q666" s="116"/>
      <c r="R666" s="117"/>
    </row>
    <row r="667" spans="1:18" s="148" customFormat="1" ht="18" customHeight="1" x14ac:dyDescent="0.25">
      <c r="A667" s="185"/>
      <c r="B667" s="140"/>
      <c r="C667" s="140"/>
      <c r="D667" s="140"/>
      <c r="E667" s="139"/>
      <c r="F667" s="140"/>
      <c r="G667" s="142"/>
      <c r="H667" s="143"/>
      <c r="I667" s="144"/>
      <c r="J667" s="155"/>
      <c r="K667" s="144"/>
      <c r="L667" s="155"/>
      <c r="M667" s="145"/>
      <c r="N667" s="115"/>
      <c r="O667" s="115"/>
      <c r="P667" s="116"/>
      <c r="Q667" s="116"/>
      <c r="R667" s="117"/>
    </row>
    <row r="668" spans="1:18" s="148" customFormat="1" ht="18" customHeight="1" x14ac:dyDescent="0.25">
      <c r="A668" s="185">
        <v>3</v>
      </c>
      <c r="B668" s="140"/>
      <c r="C668" s="140"/>
      <c r="D668" s="140"/>
      <c r="E668" s="141" t="s">
        <v>991</v>
      </c>
      <c r="F668" s="140"/>
      <c r="G668" s="142"/>
      <c r="H668" s="143" t="s">
        <v>1558</v>
      </c>
      <c r="I668" s="144" t="s">
        <v>168</v>
      </c>
      <c r="J668" s="145">
        <f>14879*12</f>
        <v>178548</v>
      </c>
      <c r="K668" s="144" t="s">
        <v>168</v>
      </c>
      <c r="L668" s="145">
        <v>186156</v>
      </c>
      <c r="M668" s="146">
        <f>L668-J668</f>
        <v>7608</v>
      </c>
      <c r="N668" s="115"/>
      <c r="O668" s="115"/>
      <c r="P668" s="116"/>
      <c r="Q668" s="116"/>
      <c r="R668" s="117"/>
    </row>
    <row r="669" spans="1:18" s="148" customFormat="1" ht="18" customHeight="1" x14ac:dyDescent="0.25">
      <c r="A669" s="185"/>
      <c r="B669" s="938"/>
      <c r="C669" s="938"/>
      <c r="D669" s="938"/>
      <c r="E669" s="141"/>
      <c r="F669" s="938"/>
      <c r="G669" s="142"/>
      <c r="H669" s="143"/>
      <c r="I669" s="144"/>
      <c r="J669" s="145"/>
      <c r="K669" s="144"/>
      <c r="L669" s="145"/>
      <c r="M669" s="146"/>
      <c r="N669" s="115"/>
      <c r="O669" s="115"/>
      <c r="P669" s="116"/>
      <c r="Q669" s="116"/>
      <c r="R669" s="117"/>
    </row>
    <row r="670" spans="1:18" s="148" customFormat="1" ht="18" customHeight="1" x14ac:dyDescent="0.25">
      <c r="A670" s="185"/>
      <c r="B670" s="140"/>
      <c r="C670" s="140"/>
      <c r="D670" s="140"/>
      <c r="E670" s="139"/>
      <c r="F670" s="140"/>
      <c r="G670" s="142"/>
      <c r="H670" s="143"/>
      <c r="I670" s="144"/>
      <c r="J670" s="145"/>
      <c r="K670" s="144"/>
      <c r="L670" s="145"/>
      <c r="M670" s="145"/>
      <c r="N670" s="115"/>
      <c r="O670" s="115"/>
      <c r="P670" s="116"/>
      <c r="Q670" s="116"/>
      <c r="R670" s="117"/>
    </row>
    <row r="671" spans="1:18" s="148" customFormat="1" ht="18" customHeight="1" x14ac:dyDescent="0.25">
      <c r="A671" s="185"/>
      <c r="B671" s="1143">
        <v>4</v>
      </c>
      <c r="C671" s="1144"/>
      <c r="D671" s="1145"/>
      <c r="E671" s="141" t="s">
        <v>262</v>
      </c>
      <c r="F671" s="938"/>
      <c r="G671" s="142"/>
      <c r="H671" s="143" t="s">
        <v>107</v>
      </c>
      <c r="I671" s="144"/>
      <c r="J671" s="145"/>
      <c r="K671" s="144" t="s">
        <v>263</v>
      </c>
      <c r="L671" s="145">
        <v>265728</v>
      </c>
      <c r="M671" s="146">
        <f>L671-J671</f>
        <v>265728</v>
      </c>
      <c r="N671" s="115"/>
      <c r="O671" s="115"/>
      <c r="P671" s="116"/>
      <c r="Q671" s="116"/>
      <c r="R671" s="117"/>
    </row>
    <row r="672" spans="1:18" s="148" customFormat="1" ht="18" customHeight="1" x14ac:dyDescent="0.25">
      <c r="A672" s="185"/>
      <c r="B672" s="140"/>
      <c r="C672" s="140"/>
      <c r="D672" s="140"/>
      <c r="E672" s="139"/>
      <c r="F672" s="140"/>
      <c r="G672" s="142"/>
      <c r="H672" s="143" t="s">
        <v>1658</v>
      </c>
      <c r="I672" s="144"/>
      <c r="J672" s="145"/>
      <c r="K672" s="144"/>
      <c r="L672" s="145"/>
      <c r="M672" s="145"/>
      <c r="N672" s="115"/>
      <c r="O672" s="115"/>
      <c r="P672" s="116"/>
      <c r="Q672" s="116"/>
      <c r="R672" s="117"/>
    </row>
    <row r="673" spans="1:18" s="148" customFormat="1" ht="18" customHeight="1" x14ac:dyDescent="0.25">
      <c r="A673" s="185"/>
      <c r="B673" s="140"/>
      <c r="C673" s="140"/>
      <c r="D673" s="140"/>
      <c r="E673" s="139"/>
      <c r="F673" s="140"/>
      <c r="G673" s="142"/>
      <c r="H673" s="143"/>
      <c r="I673" s="144"/>
      <c r="J673" s="145"/>
      <c r="K673" s="144"/>
      <c r="L673" s="145"/>
      <c r="M673" s="145"/>
      <c r="N673" s="115"/>
      <c r="O673" s="115"/>
      <c r="P673" s="116"/>
      <c r="Q673" s="116"/>
      <c r="R673" s="117"/>
    </row>
    <row r="674" spans="1:18" s="148" customFormat="1" ht="18" customHeight="1" x14ac:dyDescent="0.25">
      <c r="A674" s="185"/>
      <c r="B674" s="140"/>
      <c r="C674" s="140"/>
      <c r="D674" s="140"/>
      <c r="E674" s="139"/>
      <c r="F674" s="140"/>
      <c r="G674" s="142"/>
      <c r="H674" s="143"/>
      <c r="I674" s="144"/>
      <c r="J674" s="145"/>
      <c r="K674" s="144"/>
      <c r="L674" s="145"/>
      <c r="M674" s="145"/>
      <c r="N674" s="115"/>
      <c r="O674" s="115"/>
      <c r="P674" s="116"/>
      <c r="Q674" s="116"/>
      <c r="R674" s="117"/>
    </row>
    <row r="675" spans="1:18" s="148" customFormat="1" ht="18" customHeight="1" x14ac:dyDescent="0.25">
      <c r="A675" s="185"/>
      <c r="B675" s="140"/>
      <c r="C675" s="140"/>
      <c r="D675" s="140"/>
      <c r="E675" s="139"/>
      <c r="F675" s="140"/>
      <c r="G675" s="142"/>
      <c r="H675" s="143"/>
      <c r="I675" s="144"/>
      <c r="J675" s="145"/>
      <c r="K675" s="144"/>
      <c r="L675" s="145"/>
      <c r="M675" s="145"/>
      <c r="N675" s="115"/>
      <c r="O675" s="115"/>
      <c r="P675" s="116"/>
      <c r="Q675" s="116"/>
      <c r="R675" s="117"/>
    </row>
    <row r="676" spans="1:18" s="148" customFormat="1" ht="18" customHeight="1" x14ac:dyDescent="0.25">
      <c r="A676" s="185"/>
      <c r="B676" s="140"/>
      <c r="C676" s="140"/>
      <c r="D676" s="140"/>
      <c r="E676" s="139"/>
      <c r="F676" s="140"/>
      <c r="G676" s="142"/>
      <c r="H676" s="143"/>
      <c r="I676" s="144"/>
      <c r="J676" s="145"/>
      <c r="K676" s="144"/>
      <c r="L676" s="145"/>
      <c r="M676" s="145"/>
      <c r="N676" s="115"/>
      <c r="O676" s="115"/>
      <c r="P676" s="116"/>
      <c r="Q676" s="116"/>
      <c r="R676" s="117"/>
    </row>
    <row r="677" spans="1:18" s="148" customFormat="1" ht="18" customHeight="1" x14ac:dyDescent="0.25">
      <c r="A677" s="185"/>
      <c r="B677" s="140"/>
      <c r="C677" s="140"/>
      <c r="D677" s="140"/>
      <c r="E677" s="139"/>
      <c r="F677" s="140"/>
      <c r="G677" s="142"/>
      <c r="H677" s="143"/>
      <c r="I677" s="144"/>
      <c r="J677" s="145"/>
      <c r="K677" s="144"/>
      <c r="L677" s="145"/>
      <c r="M677" s="145"/>
      <c r="N677" s="115"/>
      <c r="O677" s="115"/>
      <c r="P677" s="116"/>
      <c r="Q677" s="116"/>
      <c r="R677" s="117"/>
    </row>
    <row r="678" spans="1:18" s="148" customFormat="1" ht="18" customHeight="1" x14ac:dyDescent="0.25">
      <c r="A678" s="185"/>
      <c r="B678" s="140"/>
      <c r="C678" s="140"/>
      <c r="D678" s="140"/>
      <c r="E678" s="139"/>
      <c r="F678" s="140"/>
      <c r="G678" s="142"/>
      <c r="H678" s="143"/>
      <c r="I678" s="144"/>
      <c r="J678" s="145"/>
      <c r="K678" s="144"/>
      <c r="L678" s="145"/>
      <c r="M678" s="145"/>
      <c r="N678" s="115"/>
      <c r="O678" s="115"/>
      <c r="P678" s="116"/>
      <c r="Q678" s="116"/>
      <c r="R678" s="117"/>
    </row>
    <row r="679" spans="1:18" s="148" customFormat="1" ht="18" customHeight="1" x14ac:dyDescent="0.25">
      <c r="A679" s="185"/>
      <c r="B679" s="140"/>
      <c r="C679" s="140"/>
      <c r="D679" s="140"/>
      <c r="E679" s="139"/>
      <c r="F679" s="140"/>
      <c r="G679" s="142"/>
      <c r="H679" s="143"/>
      <c r="I679" s="144"/>
      <c r="J679" s="145"/>
      <c r="K679" s="144"/>
      <c r="L679" s="145"/>
      <c r="M679" s="145"/>
      <c r="N679" s="115"/>
      <c r="O679" s="115"/>
      <c r="P679" s="116"/>
      <c r="Q679" s="116"/>
      <c r="R679" s="117"/>
    </row>
    <row r="680" spans="1:18" s="148" customFormat="1" ht="18" customHeight="1" x14ac:dyDescent="0.25">
      <c r="A680" s="185"/>
      <c r="B680" s="140"/>
      <c r="C680" s="140"/>
      <c r="D680" s="140"/>
      <c r="E680" s="139"/>
      <c r="F680" s="140"/>
      <c r="G680" s="142"/>
      <c r="H680" s="143"/>
      <c r="I680" s="144"/>
      <c r="J680" s="145"/>
      <c r="K680" s="144"/>
      <c r="L680" s="145"/>
      <c r="M680" s="145"/>
      <c r="N680" s="115"/>
      <c r="O680" s="115"/>
      <c r="P680" s="116"/>
      <c r="Q680" s="116"/>
      <c r="R680" s="117"/>
    </row>
    <row r="681" spans="1:18" s="148" customFormat="1" ht="18" customHeight="1" x14ac:dyDescent="0.25">
      <c r="A681" s="185"/>
      <c r="B681" s="140"/>
      <c r="C681" s="140"/>
      <c r="D681" s="140"/>
      <c r="E681" s="139"/>
      <c r="F681" s="140"/>
      <c r="G681" s="142"/>
      <c r="H681" s="143"/>
      <c r="I681" s="144"/>
      <c r="J681" s="145"/>
      <c r="K681" s="144"/>
      <c r="L681" s="145"/>
      <c r="M681" s="145"/>
      <c r="N681" s="115"/>
      <c r="O681" s="115"/>
      <c r="P681" s="116"/>
      <c r="Q681" s="116"/>
      <c r="R681" s="117"/>
    </row>
    <row r="682" spans="1:18" s="148" customFormat="1" ht="18" customHeight="1" x14ac:dyDescent="0.25">
      <c r="A682" s="185"/>
      <c r="B682" s="140"/>
      <c r="C682" s="140"/>
      <c r="D682" s="140"/>
      <c r="E682" s="139"/>
      <c r="F682" s="140"/>
      <c r="G682" s="142"/>
      <c r="H682" s="143"/>
      <c r="I682" s="144"/>
      <c r="J682" s="145"/>
      <c r="K682" s="144"/>
      <c r="L682" s="145"/>
      <c r="M682" s="145"/>
      <c r="N682" s="115"/>
      <c r="O682" s="115"/>
      <c r="P682" s="116"/>
      <c r="Q682" s="116"/>
      <c r="R682" s="117"/>
    </row>
    <row r="683" spans="1:18" s="148" customFormat="1" ht="18" customHeight="1" x14ac:dyDescent="0.25">
      <c r="A683" s="143"/>
      <c r="B683" s="157"/>
      <c r="C683" s="140"/>
      <c r="D683" s="140"/>
      <c r="E683" s="156"/>
      <c r="F683" s="157"/>
      <c r="G683" s="142"/>
      <c r="H683" s="143"/>
      <c r="I683" s="144"/>
      <c r="J683" s="145"/>
      <c r="K683" s="144"/>
      <c r="L683" s="145"/>
      <c r="M683" s="145"/>
      <c r="N683" s="115"/>
      <c r="O683" s="115"/>
      <c r="P683" s="116"/>
      <c r="Q683" s="116"/>
      <c r="R683" s="117"/>
    </row>
    <row r="684" spans="1:18" s="148" customFormat="1" ht="18" customHeight="1" x14ac:dyDescent="0.25">
      <c r="A684" s="143"/>
      <c r="B684" s="157"/>
      <c r="C684" s="140"/>
      <c r="D684" s="140"/>
      <c r="E684" s="156"/>
      <c r="F684" s="157"/>
      <c r="G684" s="142"/>
      <c r="H684" s="143"/>
      <c r="I684" s="213"/>
      <c r="J684" s="145"/>
      <c r="K684" s="213"/>
      <c r="L684" s="145"/>
      <c r="M684" s="145"/>
      <c r="N684" s="115"/>
      <c r="O684" s="115"/>
      <c r="P684" s="116"/>
      <c r="Q684" s="116"/>
      <c r="R684" s="117"/>
    </row>
    <row r="685" spans="1:18" s="148" customFormat="1" ht="18" customHeight="1" x14ac:dyDescent="0.25">
      <c r="A685" s="143"/>
      <c r="B685" s="157"/>
      <c r="C685" s="140"/>
      <c r="D685" s="140"/>
      <c r="E685" s="156"/>
      <c r="F685" s="157"/>
      <c r="G685" s="142"/>
      <c r="H685" s="143"/>
      <c r="I685" s="213"/>
      <c r="J685" s="145"/>
      <c r="K685" s="213"/>
      <c r="L685" s="145"/>
      <c r="M685" s="145"/>
      <c r="N685" s="115"/>
      <c r="O685" s="115"/>
      <c r="P685" s="116"/>
      <c r="Q685" s="116"/>
      <c r="R685" s="117"/>
    </row>
    <row r="686" spans="1:18" s="148" customFormat="1" ht="18" customHeight="1" x14ac:dyDescent="0.25">
      <c r="A686" s="143"/>
      <c r="B686" s="157"/>
      <c r="C686" s="140"/>
      <c r="D686" s="140"/>
      <c r="E686" s="156"/>
      <c r="F686" s="157"/>
      <c r="G686" s="142"/>
      <c r="H686" s="143"/>
      <c r="I686" s="213"/>
      <c r="J686" s="145"/>
      <c r="K686" s="213"/>
      <c r="L686" s="145"/>
      <c r="M686" s="145"/>
      <c r="N686" s="115"/>
      <c r="O686" s="115"/>
      <c r="P686" s="116"/>
      <c r="Q686" s="116"/>
      <c r="R686" s="117"/>
    </row>
    <row r="687" spans="1:18" s="148" customFormat="1" ht="18" customHeight="1" x14ac:dyDescent="0.25">
      <c r="A687" s="143"/>
      <c r="B687" s="157"/>
      <c r="C687" s="140"/>
      <c r="D687" s="140"/>
      <c r="E687" s="156"/>
      <c r="F687" s="157"/>
      <c r="G687" s="142"/>
      <c r="H687" s="143"/>
      <c r="I687" s="213"/>
      <c r="J687" s="145"/>
      <c r="K687" s="213"/>
      <c r="L687" s="145"/>
      <c r="M687" s="145"/>
      <c r="N687" s="115"/>
      <c r="O687" s="115"/>
      <c r="P687" s="116"/>
      <c r="Q687" s="116"/>
      <c r="R687" s="117"/>
    </row>
    <row r="688" spans="1:18" s="148" customFormat="1" ht="18" customHeight="1" x14ac:dyDescent="0.25">
      <c r="A688" s="143"/>
      <c r="B688" s="157"/>
      <c r="C688" s="140"/>
      <c r="D688" s="140"/>
      <c r="E688" s="156"/>
      <c r="F688" s="157"/>
      <c r="G688" s="142"/>
      <c r="H688" s="143"/>
      <c r="I688" s="213"/>
      <c r="J688" s="145"/>
      <c r="K688" s="213"/>
      <c r="L688" s="145"/>
      <c r="M688" s="145"/>
      <c r="N688" s="115"/>
      <c r="O688" s="115"/>
      <c r="P688" s="116"/>
      <c r="Q688" s="116"/>
      <c r="R688" s="117"/>
    </row>
    <row r="689" spans="1:18" s="148" customFormat="1" ht="18" customHeight="1" x14ac:dyDescent="0.25">
      <c r="A689" s="143"/>
      <c r="B689" s="157"/>
      <c r="C689" s="140"/>
      <c r="D689" s="140"/>
      <c r="E689" s="156"/>
      <c r="F689" s="157"/>
      <c r="G689" s="142"/>
      <c r="H689" s="143"/>
      <c r="I689" s="213"/>
      <c r="J689" s="145"/>
      <c r="K689" s="213"/>
      <c r="L689" s="145"/>
      <c r="M689" s="145"/>
      <c r="N689" s="115"/>
      <c r="O689" s="115"/>
      <c r="P689" s="116"/>
      <c r="Q689" s="116"/>
      <c r="R689" s="117"/>
    </row>
    <row r="690" spans="1:18" s="148" customFormat="1" ht="18" customHeight="1" x14ac:dyDescent="0.25">
      <c r="A690" s="143"/>
      <c r="B690" s="157"/>
      <c r="C690" s="140"/>
      <c r="D690" s="140"/>
      <c r="E690" s="156"/>
      <c r="F690" s="157"/>
      <c r="G690" s="142"/>
      <c r="H690" s="143"/>
      <c r="I690" s="213"/>
      <c r="J690" s="145"/>
      <c r="K690" s="213"/>
      <c r="L690" s="145"/>
      <c r="M690" s="145"/>
      <c r="N690" s="115"/>
      <c r="O690" s="115"/>
      <c r="P690" s="116"/>
      <c r="Q690" s="116"/>
      <c r="R690" s="117"/>
    </row>
    <row r="691" spans="1:18" s="148" customFormat="1" ht="18" customHeight="1" x14ac:dyDescent="0.25">
      <c r="A691" s="143"/>
      <c r="B691" s="157"/>
      <c r="C691" s="140"/>
      <c r="D691" s="140"/>
      <c r="E691" s="156"/>
      <c r="F691" s="157"/>
      <c r="G691" s="142"/>
      <c r="H691" s="143"/>
      <c r="I691" s="213"/>
      <c r="J691" s="145"/>
      <c r="K691" s="213"/>
      <c r="L691" s="145"/>
      <c r="M691" s="145"/>
      <c r="N691" s="115"/>
      <c r="O691" s="115"/>
      <c r="P691" s="116"/>
      <c r="Q691" s="116"/>
      <c r="R691" s="117"/>
    </row>
    <row r="692" spans="1:18" s="148" customFormat="1" ht="18" customHeight="1" x14ac:dyDescent="0.25">
      <c r="A692" s="143"/>
      <c r="B692" s="157"/>
      <c r="C692" s="140"/>
      <c r="D692" s="140"/>
      <c r="E692" s="156"/>
      <c r="F692" s="157"/>
      <c r="G692" s="142"/>
      <c r="H692" s="143"/>
      <c r="I692" s="213"/>
      <c r="J692" s="145"/>
      <c r="K692" s="213"/>
      <c r="L692" s="145"/>
      <c r="M692" s="145"/>
      <c r="N692" s="115"/>
      <c r="O692" s="115"/>
      <c r="P692" s="116"/>
      <c r="Q692" s="116"/>
      <c r="R692" s="117"/>
    </row>
    <row r="693" spans="1:18" s="148" customFormat="1" ht="18" customHeight="1" x14ac:dyDescent="0.25">
      <c r="A693" s="143"/>
      <c r="B693" s="157"/>
      <c r="C693" s="140"/>
      <c r="D693" s="140"/>
      <c r="E693" s="156"/>
      <c r="F693" s="157"/>
      <c r="G693" s="142"/>
      <c r="H693" s="143"/>
      <c r="I693" s="213"/>
      <c r="J693" s="145"/>
      <c r="K693" s="213"/>
      <c r="L693" s="145"/>
      <c r="M693" s="145"/>
      <c r="N693" s="115"/>
      <c r="O693" s="115"/>
      <c r="P693" s="116"/>
      <c r="Q693" s="116"/>
      <c r="R693" s="117"/>
    </row>
    <row r="694" spans="1:18" s="148" customFormat="1" ht="18" customHeight="1" x14ac:dyDescent="0.25">
      <c r="A694" s="143"/>
      <c r="B694" s="157"/>
      <c r="C694" s="140"/>
      <c r="D694" s="140"/>
      <c r="E694" s="156"/>
      <c r="F694" s="157"/>
      <c r="G694" s="142"/>
      <c r="H694" s="143"/>
      <c r="I694" s="213"/>
      <c r="J694" s="145"/>
      <c r="K694" s="213"/>
      <c r="L694" s="145"/>
      <c r="M694" s="145"/>
      <c r="N694" s="115"/>
      <c r="O694" s="115"/>
      <c r="P694" s="116"/>
      <c r="Q694" s="116"/>
      <c r="R694" s="117"/>
    </row>
    <row r="695" spans="1:18" s="148" customFormat="1" ht="18" customHeight="1" x14ac:dyDescent="0.25">
      <c r="A695" s="143"/>
      <c r="B695" s="157"/>
      <c r="C695" s="140"/>
      <c r="D695" s="140"/>
      <c r="E695" s="156"/>
      <c r="F695" s="157"/>
      <c r="G695" s="142"/>
      <c r="H695" s="143"/>
      <c r="I695" s="213"/>
      <c r="J695" s="145"/>
      <c r="K695" s="213"/>
      <c r="L695" s="145"/>
      <c r="M695" s="145"/>
      <c r="N695" s="115"/>
      <c r="O695" s="115"/>
      <c r="P695" s="116"/>
      <c r="Q695" s="116"/>
      <c r="R695" s="117"/>
    </row>
    <row r="696" spans="1:18" s="148" customFormat="1" ht="18" customHeight="1" x14ac:dyDescent="0.25">
      <c r="A696" s="143"/>
      <c r="B696" s="157"/>
      <c r="C696" s="140"/>
      <c r="D696" s="140"/>
      <c r="E696" s="156"/>
      <c r="F696" s="157"/>
      <c r="G696" s="142"/>
      <c r="H696" s="143"/>
      <c r="I696" s="213"/>
      <c r="J696" s="145"/>
      <c r="K696" s="213"/>
      <c r="L696" s="145"/>
      <c r="M696" s="145"/>
      <c r="N696" s="115"/>
      <c r="O696" s="115"/>
      <c r="P696" s="116"/>
      <c r="Q696" s="116"/>
      <c r="R696" s="117"/>
    </row>
    <row r="697" spans="1:18" s="148" customFormat="1" ht="18" customHeight="1" x14ac:dyDescent="0.25">
      <c r="A697" s="143"/>
      <c r="B697" s="157"/>
      <c r="C697" s="140"/>
      <c r="D697" s="140"/>
      <c r="E697" s="156"/>
      <c r="F697" s="157"/>
      <c r="G697" s="142"/>
      <c r="H697" s="143"/>
      <c r="I697" s="213"/>
      <c r="J697" s="145"/>
      <c r="K697" s="213"/>
      <c r="L697" s="145"/>
      <c r="M697" s="145"/>
      <c r="N697" s="115"/>
      <c r="O697" s="115"/>
      <c r="P697" s="116"/>
      <c r="Q697" s="116"/>
      <c r="R697" s="117"/>
    </row>
    <row r="698" spans="1:18" s="148" customFormat="1" ht="18" customHeight="1" x14ac:dyDescent="0.25">
      <c r="A698" s="143"/>
      <c r="B698" s="157"/>
      <c r="C698" s="140"/>
      <c r="D698" s="140"/>
      <c r="E698" s="156"/>
      <c r="F698" s="157"/>
      <c r="G698" s="142"/>
      <c r="H698" s="143"/>
      <c r="I698" s="213"/>
      <c r="J698" s="145"/>
      <c r="K698" s="213"/>
      <c r="L698" s="145"/>
      <c r="M698" s="145"/>
      <c r="N698" s="115"/>
      <c r="O698" s="115"/>
      <c r="P698" s="116"/>
      <c r="Q698" s="116"/>
      <c r="R698" s="117"/>
    </row>
    <row r="699" spans="1:18" s="148" customFormat="1" ht="18" customHeight="1" x14ac:dyDescent="0.25">
      <c r="A699" s="143"/>
      <c r="B699" s="157"/>
      <c r="C699" s="140"/>
      <c r="D699" s="140"/>
      <c r="E699" s="156"/>
      <c r="F699" s="157"/>
      <c r="G699" s="142"/>
      <c r="H699" s="143"/>
      <c r="I699" s="213"/>
      <c r="J699" s="145"/>
      <c r="K699" s="213"/>
      <c r="L699" s="145"/>
      <c r="M699" s="145"/>
      <c r="N699" s="115"/>
      <c r="O699" s="115"/>
      <c r="P699" s="116"/>
      <c r="Q699" s="116"/>
      <c r="R699" s="117"/>
    </row>
    <row r="700" spans="1:18" s="148" customFormat="1" ht="18" customHeight="1" x14ac:dyDescent="0.25">
      <c r="A700" s="143"/>
      <c r="B700" s="157"/>
      <c r="C700" s="140"/>
      <c r="D700" s="140"/>
      <c r="E700" s="156"/>
      <c r="F700" s="157"/>
      <c r="G700" s="142"/>
      <c r="H700" s="143"/>
      <c r="I700" s="213"/>
      <c r="J700" s="145"/>
      <c r="K700" s="213"/>
      <c r="L700" s="145"/>
      <c r="M700" s="145"/>
      <c r="N700" s="115"/>
      <c r="O700" s="115"/>
      <c r="P700" s="116"/>
      <c r="Q700" s="116"/>
      <c r="R700" s="117"/>
    </row>
    <row r="701" spans="1:18" s="170" customFormat="1" ht="18" customHeight="1" thickBot="1" x14ac:dyDescent="0.3">
      <c r="A701" s="164"/>
      <c r="B701" s="161"/>
      <c r="C701" s="160"/>
      <c r="D701" s="160"/>
      <c r="E701" s="159"/>
      <c r="F701" s="161"/>
      <c r="G701" s="162"/>
      <c r="H701" s="163" t="s">
        <v>15</v>
      </c>
      <c r="I701" s="165"/>
      <c r="J701" s="165">
        <f>SUM(J660:J700)</f>
        <v>1296156</v>
      </c>
      <c r="K701" s="165"/>
      <c r="L701" s="165"/>
      <c r="M701" s="165">
        <f>SUM(M660:M700)</f>
        <v>313688</v>
      </c>
      <c r="N701" s="167"/>
      <c r="O701" s="167"/>
      <c r="P701" s="168"/>
      <c r="Q701" s="168"/>
      <c r="R701" s="169"/>
    </row>
    <row r="702" spans="1:18" s="148" customFormat="1" ht="18" customHeight="1" thickTop="1" x14ac:dyDescent="0.25">
      <c r="A702" s="157"/>
      <c r="B702" s="157"/>
      <c r="C702" s="140"/>
      <c r="D702" s="140"/>
      <c r="E702" s="157"/>
      <c r="F702" s="157"/>
      <c r="G702" s="157"/>
      <c r="H702" s="140"/>
      <c r="I702" s="157"/>
      <c r="J702" s="171"/>
      <c r="K702" s="174"/>
      <c r="L702" s="173"/>
      <c r="M702" s="173"/>
      <c r="N702" s="115"/>
      <c r="O702" s="115"/>
      <c r="P702" s="116"/>
      <c r="Q702" s="116"/>
      <c r="R702" s="117"/>
    </row>
    <row r="703" spans="1:18" s="148" customFormat="1" ht="18" customHeight="1" x14ac:dyDescent="0.25">
      <c r="A703" s="157"/>
      <c r="B703" s="157"/>
      <c r="C703" s="140"/>
      <c r="D703" s="140"/>
      <c r="E703" s="157"/>
      <c r="F703" s="157"/>
      <c r="G703" s="157"/>
      <c r="H703" s="157"/>
      <c r="I703" s="157"/>
      <c r="J703" s="157"/>
      <c r="K703" s="174"/>
      <c r="L703" s="172"/>
      <c r="M703" s="172"/>
      <c r="N703" s="115"/>
      <c r="O703" s="115"/>
      <c r="P703" s="116"/>
      <c r="Q703" s="116"/>
      <c r="R703" s="117"/>
    </row>
    <row r="704" spans="1:18" s="148" customFormat="1" ht="18" customHeight="1" x14ac:dyDescent="0.25">
      <c r="A704" s="157"/>
      <c r="B704" s="157"/>
      <c r="C704" s="140"/>
      <c r="D704" s="140"/>
      <c r="E704" s="157"/>
      <c r="F704" s="157"/>
      <c r="G704" s="157"/>
      <c r="H704" s="157"/>
      <c r="I704" s="157"/>
      <c r="J704" s="157"/>
      <c r="K704" s="174"/>
      <c r="L704" s="172"/>
      <c r="M704" s="172"/>
      <c r="N704" s="115"/>
      <c r="O704" s="115"/>
      <c r="P704" s="116"/>
      <c r="Q704" s="116"/>
      <c r="R704" s="117"/>
    </row>
    <row r="705" spans="1:18" s="148" customFormat="1" ht="18" customHeight="1" x14ac:dyDescent="0.25">
      <c r="A705" s="175" t="s">
        <v>636</v>
      </c>
      <c r="B705" s="175"/>
      <c r="C705" s="932"/>
      <c r="D705" s="932"/>
      <c r="E705" s="176"/>
      <c r="F705" s="176"/>
      <c r="G705" s="176"/>
      <c r="H705" s="175" t="s">
        <v>637</v>
      </c>
      <c r="I705" s="176"/>
      <c r="K705" s="175" t="s">
        <v>264</v>
      </c>
      <c r="L705" s="177"/>
      <c r="M705" s="177"/>
      <c r="N705" s="115"/>
      <c r="O705" s="115"/>
      <c r="P705" s="116"/>
      <c r="Q705" s="116"/>
      <c r="R705" s="117"/>
    </row>
    <row r="706" spans="1:18" s="148" customFormat="1" ht="18" customHeight="1" x14ac:dyDescent="0.25">
      <c r="A706" s="176"/>
      <c r="B706" s="176"/>
      <c r="C706" s="933"/>
      <c r="D706" s="933"/>
      <c r="E706" s="176"/>
      <c r="F706" s="176"/>
      <c r="G706" s="176"/>
      <c r="H706" s="176"/>
      <c r="I706" s="176"/>
      <c r="J706" s="176"/>
      <c r="K706" s="178"/>
      <c r="L706" s="177"/>
      <c r="M706" s="177"/>
      <c r="N706" s="115"/>
      <c r="O706" s="115"/>
      <c r="P706" s="116"/>
      <c r="Q706" s="116"/>
      <c r="R706" s="117"/>
    </row>
    <row r="707" spans="1:18" s="148" customFormat="1" ht="18" customHeight="1" x14ac:dyDescent="0.25">
      <c r="A707" s="1131" t="s">
        <v>66</v>
      </c>
      <c r="B707" s="1131"/>
      <c r="C707" s="1131"/>
      <c r="D707" s="1131"/>
      <c r="E707" s="1131"/>
      <c r="F707" s="1131"/>
      <c r="G707" s="176"/>
      <c r="H707" s="1131" t="s">
        <v>17</v>
      </c>
      <c r="I707" s="1131"/>
      <c r="J707" s="176"/>
      <c r="K707" s="1131" t="s">
        <v>1493</v>
      </c>
      <c r="L707" s="1131"/>
      <c r="M707" s="1131"/>
      <c r="N707" s="115"/>
      <c r="O707" s="115"/>
      <c r="P707" s="116"/>
      <c r="Q707" s="116"/>
      <c r="R707" s="117"/>
    </row>
    <row r="708" spans="1:18" s="148" customFormat="1" ht="18" customHeight="1" x14ac:dyDescent="0.25">
      <c r="A708" s="1132" t="s">
        <v>437</v>
      </c>
      <c r="B708" s="1132"/>
      <c r="C708" s="1132"/>
      <c r="D708" s="1132"/>
      <c r="E708" s="1132"/>
      <c r="F708" s="1132"/>
      <c r="G708" s="179"/>
      <c r="H708" s="1132" t="s">
        <v>18</v>
      </c>
      <c r="I708" s="1132"/>
      <c r="J708" s="932"/>
      <c r="K708" s="1132" t="s">
        <v>14</v>
      </c>
      <c r="L708" s="1132"/>
      <c r="M708" s="1132"/>
      <c r="N708" s="115"/>
      <c r="O708" s="115"/>
      <c r="P708" s="116"/>
      <c r="Q708" s="116"/>
      <c r="R708" s="117"/>
    </row>
    <row r="709" spans="1:18" ht="18" customHeight="1" x14ac:dyDescent="0.2">
      <c r="A709" s="111"/>
      <c r="B709" s="111"/>
      <c r="C709" s="930"/>
      <c r="D709" s="930"/>
      <c r="E709" s="1121"/>
      <c r="F709" s="1121"/>
      <c r="G709" s="1121"/>
      <c r="H709" s="930"/>
      <c r="I709" s="930"/>
      <c r="J709" s="930"/>
      <c r="K709" s="1121"/>
      <c r="L709" s="1121"/>
      <c r="M709" s="1121"/>
    </row>
    <row r="710" spans="1:18" ht="18" customHeight="1" x14ac:dyDescent="0.2">
      <c r="A710" s="111"/>
      <c r="B710" s="111"/>
      <c r="C710" s="930"/>
      <c r="D710" s="930"/>
      <c r="E710" s="930"/>
      <c r="F710" s="930"/>
      <c r="G710" s="930"/>
      <c r="H710" s="930"/>
      <c r="I710" s="930"/>
      <c r="J710" s="930"/>
      <c r="K710" s="930"/>
      <c r="L710" s="930"/>
      <c r="M710" s="930"/>
    </row>
    <row r="711" spans="1:18" ht="18" customHeight="1" x14ac:dyDescent="0.2">
      <c r="A711" s="111"/>
      <c r="B711" s="111"/>
      <c r="C711" s="930"/>
      <c r="D711" s="930"/>
      <c r="E711" s="930"/>
      <c r="F711" s="930"/>
      <c r="G711" s="930"/>
      <c r="H711" s="930"/>
      <c r="I711" s="930"/>
      <c r="J711" s="930"/>
      <c r="K711" s="930"/>
      <c r="L711" s="930"/>
      <c r="M711" s="930"/>
    </row>
    <row r="712" spans="1:18" ht="18" customHeight="1" x14ac:dyDescent="0.2">
      <c r="A712" s="111"/>
      <c r="B712" s="111"/>
      <c r="C712" s="930"/>
      <c r="D712" s="930"/>
      <c r="E712" s="930"/>
      <c r="F712" s="930"/>
      <c r="G712" s="930"/>
      <c r="H712" s="930"/>
      <c r="I712" s="930"/>
      <c r="J712" s="930"/>
      <c r="K712" s="930"/>
      <c r="L712" s="930"/>
      <c r="M712" s="930"/>
    </row>
    <row r="713" spans="1:18" ht="18" customHeight="1" x14ac:dyDescent="0.2">
      <c r="A713" s="111"/>
      <c r="B713" s="111"/>
      <c r="C713" s="930"/>
      <c r="D713" s="930"/>
      <c r="E713" s="930"/>
      <c r="F713" s="930"/>
      <c r="G713" s="930"/>
      <c r="H713" s="930"/>
      <c r="I713" s="930"/>
      <c r="J713" s="930"/>
      <c r="K713" s="930"/>
      <c r="L713" s="930"/>
      <c r="M713" s="930"/>
    </row>
    <row r="714" spans="1:18" ht="18" customHeight="1" x14ac:dyDescent="0.2">
      <c r="A714" s="111"/>
      <c r="B714" s="111"/>
      <c r="C714" s="930"/>
      <c r="D714" s="930"/>
      <c r="E714" s="111"/>
      <c r="F714" s="111"/>
      <c r="G714" s="111"/>
      <c r="H714" s="111"/>
      <c r="I714" s="111"/>
      <c r="J714" s="111"/>
      <c r="K714" s="112"/>
      <c r="M714" s="113"/>
    </row>
    <row r="715" spans="1:18" ht="18" customHeight="1" x14ac:dyDescent="0.2">
      <c r="A715" s="111"/>
      <c r="B715" s="111"/>
      <c r="C715" s="930"/>
      <c r="D715" s="930"/>
      <c r="E715" s="111"/>
      <c r="F715" s="111"/>
      <c r="G715" s="111"/>
      <c r="H715" s="111"/>
      <c r="I715" s="111"/>
      <c r="J715" s="111"/>
      <c r="K715" s="112"/>
      <c r="M715" s="113"/>
    </row>
    <row r="716" spans="1:18" ht="20.100000000000001" customHeight="1" x14ac:dyDescent="0.35">
      <c r="A716" s="1142" t="s">
        <v>1009</v>
      </c>
      <c r="B716" s="1142"/>
      <c r="C716" s="1142"/>
      <c r="D716" s="1142"/>
      <c r="E716" s="1142"/>
      <c r="F716" s="1142"/>
      <c r="G716" s="1142"/>
      <c r="H716" s="1142"/>
      <c r="I716" s="1142"/>
      <c r="J716" s="1142"/>
      <c r="K716" s="1142"/>
      <c r="L716" s="1142"/>
      <c r="M716" s="1142"/>
    </row>
    <row r="717" spans="1:18" ht="18" customHeight="1" x14ac:dyDescent="0.2">
      <c r="A717" s="110"/>
      <c r="B717" s="110"/>
      <c r="C717" s="937"/>
      <c r="D717" s="937"/>
      <c r="E717" s="111"/>
      <c r="F717" s="111"/>
      <c r="G717" s="111"/>
      <c r="H717" s="111"/>
      <c r="I717" s="111"/>
      <c r="J717" s="111"/>
      <c r="K717" s="112"/>
      <c r="M717" s="114"/>
    </row>
    <row r="718" spans="1:18" ht="18" customHeight="1" x14ac:dyDescent="0.3">
      <c r="A718" s="1119" t="s">
        <v>1549</v>
      </c>
      <c r="B718" s="1119"/>
      <c r="C718" s="1119"/>
      <c r="D718" s="1119"/>
      <c r="E718" s="1119"/>
      <c r="F718" s="1119"/>
      <c r="G718" s="1119"/>
      <c r="H718" s="1119"/>
      <c r="I718" s="1119"/>
      <c r="J718" s="1119"/>
      <c r="K718" s="1119"/>
      <c r="L718" s="1119"/>
      <c r="M718" s="1119"/>
    </row>
    <row r="719" spans="1:18" ht="18" customHeight="1" x14ac:dyDescent="0.3">
      <c r="A719" s="1120" t="s">
        <v>364</v>
      </c>
      <c r="B719" s="1120"/>
      <c r="C719" s="1120"/>
      <c r="D719" s="1120"/>
      <c r="E719" s="1120"/>
      <c r="F719" s="1120"/>
      <c r="G719" s="1120"/>
      <c r="H719" s="1120"/>
      <c r="I719" s="1120"/>
      <c r="J719" s="1120"/>
      <c r="K719" s="1120"/>
      <c r="L719" s="1120"/>
      <c r="M719" s="1120"/>
    </row>
    <row r="720" spans="1:18" ht="18" customHeight="1" x14ac:dyDescent="0.2">
      <c r="A720" s="1121"/>
      <c r="B720" s="1121"/>
      <c r="C720" s="1121"/>
      <c r="D720" s="1121"/>
      <c r="E720" s="1121"/>
      <c r="F720" s="1121"/>
      <c r="G720" s="1121"/>
      <c r="H720" s="1121"/>
      <c r="I720" s="1121"/>
      <c r="J720" s="1121"/>
      <c r="K720" s="1121"/>
      <c r="L720" s="1121"/>
      <c r="M720" s="1121"/>
    </row>
    <row r="721" spans="1:18" ht="18" customHeight="1" x14ac:dyDescent="0.2">
      <c r="A721" s="930"/>
      <c r="B721" s="930"/>
      <c r="C721" s="930"/>
      <c r="D721" s="930"/>
      <c r="E721" s="930"/>
      <c r="F721" s="930"/>
      <c r="G721" s="930"/>
      <c r="H721" s="930"/>
      <c r="I721" s="930"/>
      <c r="J721" s="930"/>
      <c r="K721" s="930"/>
      <c r="L721" s="930"/>
      <c r="M721" s="930"/>
    </row>
    <row r="722" spans="1:18" ht="18" customHeight="1" x14ac:dyDescent="0.2">
      <c r="A722" s="111" t="s">
        <v>457</v>
      </c>
      <c r="B722" s="111"/>
      <c r="C722" s="111" t="s">
        <v>455</v>
      </c>
      <c r="D722" s="111" t="s">
        <v>324</v>
      </c>
      <c r="E722" s="111"/>
      <c r="F722" s="111"/>
      <c r="G722" s="111"/>
      <c r="H722" s="111"/>
      <c r="I722" s="930"/>
      <c r="J722" s="930"/>
      <c r="K722" s="930"/>
      <c r="L722" s="930"/>
      <c r="M722" s="930"/>
    </row>
    <row r="723" spans="1:18" ht="18" customHeight="1" x14ac:dyDescent="0.25">
      <c r="A723" s="111" t="s">
        <v>465</v>
      </c>
      <c r="B723" s="111"/>
      <c r="C723" s="111" t="s">
        <v>455</v>
      </c>
      <c r="D723" s="111" t="s">
        <v>478</v>
      </c>
      <c r="E723" s="111"/>
      <c r="F723" s="111"/>
      <c r="G723" s="111"/>
      <c r="H723" s="111"/>
      <c r="I723" s="930"/>
      <c r="J723" s="930"/>
      <c r="K723" s="930"/>
      <c r="L723" s="930"/>
      <c r="M723" s="930"/>
      <c r="N723" s="182"/>
    </row>
    <row r="724" spans="1:18" ht="18" customHeight="1" thickBot="1" x14ac:dyDescent="0.3">
      <c r="A724" s="111" t="s">
        <v>472</v>
      </c>
      <c r="B724" s="111"/>
      <c r="C724" s="111" t="s">
        <v>455</v>
      </c>
      <c r="D724" s="111" t="s">
        <v>690</v>
      </c>
      <c r="E724" s="111"/>
      <c r="F724" s="111"/>
      <c r="G724" s="111"/>
      <c r="H724" s="111"/>
      <c r="I724" s="930"/>
      <c r="J724" s="930"/>
      <c r="K724" s="930"/>
      <c r="L724" s="930"/>
      <c r="M724" s="930"/>
      <c r="N724" s="182"/>
    </row>
    <row r="725" spans="1:18" ht="18" customHeight="1" x14ac:dyDescent="0.25">
      <c r="A725" s="1122" t="s">
        <v>642</v>
      </c>
      <c r="B725" s="1123"/>
      <c r="C725" s="1123"/>
      <c r="D725" s="1123"/>
      <c r="E725" s="1124"/>
      <c r="F725" s="1123"/>
      <c r="G725" s="1125"/>
      <c r="H725" s="121"/>
      <c r="I725" s="1126" t="s">
        <v>646</v>
      </c>
      <c r="J725" s="1127"/>
      <c r="K725" s="1126" t="s">
        <v>646</v>
      </c>
      <c r="L725" s="1127"/>
      <c r="M725" s="122"/>
      <c r="N725" s="182"/>
    </row>
    <row r="726" spans="1:18" ht="18" customHeight="1" x14ac:dyDescent="0.2">
      <c r="A726" s="123" t="s">
        <v>643</v>
      </c>
      <c r="B726" s="1133" t="s">
        <v>644</v>
      </c>
      <c r="C726" s="1134"/>
      <c r="D726" s="1135"/>
      <c r="E726" s="1136" t="s">
        <v>45</v>
      </c>
      <c r="F726" s="1137"/>
      <c r="G726" s="1138"/>
      <c r="H726" s="934" t="s">
        <v>46</v>
      </c>
      <c r="I726" s="1136" t="s">
        <v>1492</v>
      </c>
      <c r="J726" s="1138"/>
      <c r="K726" s="1137" t="s">
        <v>1550</v>
      </c>
      <c r="L726" s="1138"/>
      <c r="M726" s="124" t="s">
        <v>47</v>
      </c>
    </row>
    <row r="727" spans="1:18" ht="18" customHeight="1" x14ac:dyDescent="0.2">
      <c r="A727" s="125"/>
      <c r="B727" s="934"/>
      <c r="C727" s="935"/>
      <c r="D727" s="935"/>
      <c r="E727" s="934"/>
      <c r="F727" s="935"/>
      <c r="G727" s="936"/>
      <c r="H727" s="934" t="s">
        <v>48</v>
      </c>
      <c r="I727" s="1139" t="s">
        <v>1551</v>
      </c>
      <c r="J727" s="1140"/>
      <c r="K727" s="1139"/>
      <c r="L727" s="1140"/>
      <c r="M727" s="124" t="s">
        <v>49</v>
      </c>
    </row>
    <row r="728" spans="1:18" ht="18" customHeight="1" x14ac:dyDescent="0.2">
      <c r="A728" s="125"/>
      <c r="B728" s="934"/>
      <c r="C728" s="935"/>
      <c r="D728" s="935"/>
      <c r="E728" s="934"/>
      <c r="F728" s="935"/>
      <c r="G728" s="126"/>
      <c r="H728" s="127"/>
      <c r="I728" s="128" t="s">
        <v>645</v>
      </c>
      <c r="J728" s="129" t="s">
        <v>50</v>
      </c>
      <c r="K728" s="128" t="s">
        <v>645</v>
      </c>
      <c r="L728" s="129" t="s">
        <v>50</v>
      </c>
      <c r="M728" s="124"/>
    </row>
    <row r="729" spans="1:18" ht="18" customHeight="1" thickBot="1" x14ac:dyDescent="0.25">
      <c r="A729" s="130"/>
      <c r="B729" s="1128"/>
      <c r="C729" s="1129"/>
      <c r="D729" s="1130"/>
      <c r="E729" s="1128"/>
      <c r="F729" s="1129"/>
      <c r="G729" s="1130"/>
      <c r="H729" s="131"/>
      <c r="I729" s="131"/>
      <c r="J729" s="131"/>
      <c r="K729" s="131"/>
      <c r="L729" s="131"/>
      <c r="M729" s="132"/>
    </row>
    <row r="730" spans="1:18" ht="18" customHeight="1" x14ac:dyDescent="0.2">
      <c r="A730" s="183"/>
      <c r="B730" s="119"/>
      <c r="C730" s="119"/>
      <c r="D730" s="119"/>
      <c r="E730" s="133"/>
      <c r="F730" s="119"/>
      <c r="G730" s="134"/>
      <c r="H730" s="135"/>
      <c r="I730" s="184"/>
      <c r="J730" s="137"/>
      <c r="K730" s="184"/>
      <c r="L730" s="137"/>
      <c r="M730" s="137"/>
    </row>
    <row r="731" spans="1:18" s="148" customFormat="1" ht="18" customHeight="1" x14ac:dyDescent="0.25">
      <c r="A731" s="185">
        <v>1</v>
      </c>
      <c r="B731" s="140"/>
      <c r="C731" s="140"/>
      <c r="D731" s="140"/>
      <c r="E731" s="156" t="s">
        <v>80</v>
      </c>
      <c r="F731" s="140"/>
      <c r="G731" s="142"/>
      <c r="H731" s="143" t="s">
        <v>27</v>
      </c>
      <c r="I731" s="187" t="s">
        <v>81</v>
      </c>
      <c r="J731" s="145">
        <f>80991*12</f>
        <v>971892</v>
      </c>
      <c r="K731" s="187" t="s">
        <v>81</v>
      </c>
      <c r="L731" s="145">
        <v>990948</v>
      </c>
      <c r="M731" s="146">
        <f>L731-J731</f>
        <v>19056</v>
      </c>
      <c r="N731" s="115">
        <f>L731-J731</f>
        <v>19056</v>
      </c>
      <c r="O731" s="115">
        <f>N731-M731</f>
        <v>0</v>
      </c>
      <c r="P731" s="116">
        <v>69142</v>
      </c>
      <c r="Q731" s="116">
        <f>P731*12</f>
        <v>829704</v>
      </c>
      <c r="R731" s="147">
        <f>Q731-L731</f>
        <v>-161244</v>
      </c>
    </row>
    <row r="732" spans="1:18" s="148" customFormat="1" ht="18" customHeight="1" x14ac:dyDescent="0.25">
      <c r="A732" s="185"/>
      <c r="B732" s="140"/>
      <c r="C732" s="140"/>
      <c r="D732" s="140"/>
      <c r="E732" s="156" t="s">
        <v>920</v>
      </c>
      <c r="F732" s="140"/>
      <c r="G732" s="142"/>
      <c r="H732" s="143"/>
      <c r="I732" s="187"/>
      <c r="J732" s="145"/>
      <c r="K732" s="187"/>
      <c r="L732" s="145"/>
      <c r="M732" s="146"/>
      <c r="N732" s="115"/>
      <c r="O732" s="115"/>
      <c r="P732" s="116"/>
      <c r="Q732" s="116"/>
      <c r="R732" s="147"/>
    </row>
    <row r="733" spans="1:18" s="148" customFormat="1" ht="18" customHeight="1" x14ac:dyDescent="0.25">
      <c r="A733" s="185"/>
      <c r="B733" s="140"/>
      <c r="C733" s="140"/>
      <c r="D733" s="140"/>
      <c r="E733" s="156"/>
      <c r="F733" s="140"/>
      <c r="G733" s="142"/>
      <c r="H733" s="143"/>
      <c r="I733" s="188"/>
      <c r="J733" s="151"/>
      <c r="K733" s="188"/>
      <c r="L733" s="151"/>
      <c r="M733" s="145"/>
      <c r="N733" s="115"/>
      <c r="O733" s="115"/>
      <c r="P733" s="116"/>
      <c r="Q733" s="116"/>
      <c r="R733" s="117"/>
    </row>
    <row r="734" spans="1:18" s="148" customFormat="1" ht="18" customHeight="1" x14ac:dyDescent="0.25">
      <c r="A734" s="185"/>
      <c r="B734" s="140"/>
      <c r="C734" s="140"/>
      <c r="D734" s="140"/>
      <c r="E734" s="156"/>
      <c r="F734" s="140"/>
      <c r="G734" s="142"/>
      <c r="H734" s="143"/>
      <c r="I734" s="188"/>
      <c r="J734" s="145"/>
      <c r="K734" s="188"/>
      <c r="L734" s="145"/>
      <c r="M734" s="145"/>
      <c r="N734" s="115"/>
      <c r="O734" s="115"/>
      <c r="P734" s="116"/>
      <c r="Q734" s="116"/>
      <c r="R734" s="117"/>
    </row>
    <row r="735" spans="1:18" s="148" customFormat="1" ht="18" customHeight="1" x14ac:dyDescent="0.25">
      <c r="A735" s="185"/>
      <c r="B735" s="140"/>
      <c r="C735" s="140"/>
      <c r="D735" s="140"/>
      <c r="E735" s="156"/>
      <c r="F735" s="140"/>
      <c r="G735" s="142"/>
      <c r="H735" s="143"/>
      <c r="I735" s="188"/>
      <c r="J735" s="145"/>
      <c r="K735" s="188"/>
      <c r="L735" s="145"/>
      <c r="M735" s="146"/>
      <c r="N735" s="115"/>
      <c r="O735" s="115"/>
      <c r="P735" s="116"/>
      <c r="Q735" s="116"/>
      <c r="R735" s="117"/>
    </row>
    <row r="736" spans="1:18" s="148" customFormat="1" ht="18" customHeight="1" x14ac:dyDescent="0.25">
      <c r="A736" s="185">
        <v>2</v>
      </c>
      <c r="B736" s="140"/>
      <c r="C736" s="140"/>
      <c r="D736" s="140"/>
      <c r="E736" s="156" t="s">
        <v>115</v>
      </c>
      <c r="F736" s="140"/>
      <c r="G736" s="142"/>
      <c r="H736" s="143" t="s">
        <v>1020</v>
      </c>
      <c r="I736" s="187" t="s">
        <v>168</v>
      </c>
      <c r="J736" s="145">
        <f>14879*12</f>
        <v>178548</v>
      </c>
      <c r="K736" s="187" t="s">
        <v>168</v>
      </c>
      <c r="L736" s="145">
        <v>186156</v>
      </c>
      <c r="M736" s="146">
        <f>L736-J736</f>
        <v>7608</v>
      </c>
      <c r="N736" s="115">
        <f>L736-J736</f>
        <v>7608</v>
      </c>
      <c r="O736" s="115">
        <f>N736-M736</f>
        <v>0</v>
      </c>
      <c r="P736" s="116">
        <v>13968</v>
      </c>
      <c r="Q736" s="116">
        <f>P736*12</f>
        <v>167616</v>
      </c>
      <c r="R736" s="147">
        <f>Q736-L736</f>
        <v>-18540</v>
      </c>
    </row>
    <row r="737" spans="1:18" s="148" customFormat="1" ht="18" customHeight="1" x14ac:dyDescent="0.25">
      <c r="A737" s="185"/>
      <c r="B737" s="140"/>
      <c r="C737" s="140"/>
      <c r="D737" s="140"/>
      <c r="E737" s="156"/>
      <c r="F737" s="140"/>
      <c r="G737" s="142"/>
      <c r="H737" s="143"/>
      <c r="I737" s="187"/>
      <c r="J737" s="145"/>
      <c r="K737" s="187" t="s">
        <v>397</v>
      </c>
      <c r="L737" s="145">
        <v>187848</v>
      </c>
      <c r="M737" s="146">
        <v>282</v>
      </c>
      <c r="N737" s="115"/>
      <c r="O737" s="115"/>
      <c r="P737" s="116"/>
      <c r="Q737" s="116"/>
      <c r="R737" s="147"/>
    </row>
    <row r="738" spans="1:18" s="148" customFormat="1" ht="18" customHeight="1" x14ac:dyDescent="0.25">
      <c r="A738" s="185"/>
      <c r="B738" s="140"/>
      <c r="C738" s="140"/>
      <c r="D738" s="140"/>
      <c r="E738" s="156"/>
      <c r="F738" s="140"/>
      <c r="G738" s="142"/>
      <c r="H738" s="143"/>
      <c r="I738" s="187"/>
      <c r="J738" s="145"/>
      <c r="K738" s="187"/>
      <c r="L738" s="151">
        <v>44505</v>
      </c>
      <c r="M738" s="146"/>
      <c r="N738" s="115"/>
      <c r="O738" s="115"/>
      <c r="P738" s="116"/>
      <c r="Q738" s="116"/>
      <c r="R738" s="147"/>
    </row>
    <row r="739" spans="1:18" s="148" customFormat="1" ht="18" customHeight="1" x14ac:dyDescent="0.25">
      <c r="A739" s="185"/>
      <c r="B739" s="140"/>
      <c r="C739" s="140"/>
      <c r="D739" s="140"/>
      <c r="E739" s="156"/>
      <c r="F739" s="140"/>
      <c r="G739" s="142"/>
      <c r="H739" s="143"/>
      <c r="I739" s="185"/>
      <c r="J739" s="145"/>
      <c r="K739" s="185"/>
      <c r="L739" s="145"/>
      <c r="M739" s="145"/>
      <c r="N739" s="115"/>
      <c r="O739" s="115"/>
      <c r="P739" s="116"/>
      <c r="Q739" s="116"/>
      <c r="R739" s="117"/>
    </row>
    <row r="740" spans="1:18" s="148" customFormat="1" ht="18" customHeight="1" x14ac:dyDescent="0.25">
      <c r="A740" s="185"/>
      <c r="B740" s="140"/>
      <c r="C740" s="140"/>
      <c r="D740" s="140"/>
      <c r="E740" s="156"/>
      <c r="F740" s="140"/>
      <c r="G740" s="142"/>
      <c r="H740" s="143"/>
      <c r="I740" s="185"/>
      <c r="J740" s="145"/>
      <c r="K740" s="185"/>
      <c r="L740" s="145"/>
      <c r="M740" s="145"/>
      <c r="N740" s="115"/>
      <c r="O740" s="115"/>
      <c r="P740" s="116"/>
      <c r="Q740" s="116"/>
      <c r="R740" s="117"/>
    </row>
    <row r="741" spans="1:18" s="148" customFormat="1" ht="18" customHeight="1" x14ac:dyDescent="0.25">
      <c r="A741" s="185">
        <v>3</v>
      </c>
      <c r="B741" s="140"/>
      <c r="C741" s="140"/>
      <c r="D741" s="140"/>
      <c r="E741" s="156" t="s">
        <v>428</v>
      </c>
      <c r="F741" s="140"/>
      <c r="G741" s="142"/>
      <c r="H741" s="143" t="s">
        <v>62</v>
      </c>
      <c r="I741" s="187" t="s">
        <v>399</v>
      </c>
      <c r="J741" s="145">
        <f>18969*12</f>
        <v>227628</v>
      </c>
      <c r="K741" s="187" t="s">
        <v>399</v>
      </c>
      <c r="L741" s="145">
        <v>243540</v>
      </c>
      <c r="M741" s="146">
        <f>L741-J741</f>
        <v>15912</v>
      </c>
      <c r="N741" s="115">
        <f>L741-J741</f>
        <v>15912</v>
      </c>
      <c r="O741" s="115">
        <f>N741-M741</f>
        <v>0</v>
      </c>
      <c r="P741" s="116">
        <v>17152</v>
      </c>
      <c r="Q741" s="116">
        <f>P741*12</f>
        <v>205824</v>
      </c>
      <c r="R741" s="147">
        <f>Q741-L741</f>
        <v>-37716</v>
      </c>
    </row>
    <row r="742" spans="1:18" s="148" customFormat="1" ht="18" customHeight="1" x14ac:dyDescent="0.25">
      <c r="A742" s="185"/>
      <c r="B742" s="140"/>
      <c r="C742" s="140"/>
      <c r="D742" s="140"/>
      <c r="E742" s="156"/>
      <c r="F742" s="140"/>
      <c r="G742" s="142"/>
      <c r="H742" s="143"/>
      <c r="I742" s="187"/>
      <c r="J742" s="145"/>
      <c r="K742" s="187" t="s">
        <v>137</v>
      </c>
      <c r="L742" s="145">
        <v>246444</v>
      </c>
      <c r="M742" s="146">
        <v>1452</v>
      </c>
      <c r="N742" s="115"/>
      <c r="O742" s="115"/>
      <c r="P742" s="116"/>
      <c r="Q742" s="116"/>
      <c r="R742" s="147"/>
    </row>
    <row r="743" spans="1:18" s="148" customFormat="1" ht="18" customHeight="1" x14ac:dyDescent="0.25">
      <c r="A743" s="185"/>
      <c r="B743" s="140"/>
      <c r="C743" s="140"/>
      <c r="D743" s="140"/>
      <c r="E743" s="156"/>
      <c r="F743" s="140"/>
      <c r="G743" s="142"/>
      <c r="H743" s="143"/>
      <c r="I743" s="185"/>
      <c r="J743" s="145"/>
      <c r="K743" s="185"/>
      <c r="L743" s="151">
        <v>44397</v>
      </c>
      <c r="M743" s="145"/>
      <c r="N743" s="115"/>
      <c r="O743" s="115"/>
      <c r="P743" s="116"/>
      <c r="Q743" s="116"/>
      <c r="R743" s="117"/>
    </row>
    <row r="744" spans="1:18" s="148" customFormat="1" ht="18" customHeight="1" x14ac:dyDescent="0.25">
      <c r="A744" s="185"/>
      <c r="B744" s="140"/>
      <c r="C744" s="140"/>
      <c r="D744" s="140"/>
      <c r="E744" s="156"/>
      <c r="F744" s="140"/>
      <c r="G744" s="142"/>
      <c r="H744" s="143"/>
      <c r="I744" s="185"/>
      <c r="J744" s="145"/>
      <c r="K744" s="185"/>
      <c r="L744" s="145"/>
      <c r="M744" s="145"/>
      <c r="N744" s="115"/>
      <c r="O744" s="115"/>
      <c r="P744" s="116"/>
      <c r="Q744" s="116"/>
      <c r="R744" s="117"/>
    </row>
    <row r="745" spans="1:18" s="148" customFormat="1" ht="18" customHeight="1" x14ac:dyDescent="0.25">
      <c r="A745" s="185"/>
      <c r="B745" s="140"/>
      <c r="C745" s="140"/>
      <c r="D745" s="140"/>
      <c r="E745" s="156"/>
      <c r="F745" s="140"/>
      <c r="G745" s="142"/>
      <c r="H745" s="143"/>
      <c r="I745" s="185"/>
      <c r="J745" s="145"/>
      <c r="K745" s="185"/>
      <c r="L745" s="145"/>
      <c r="M745" s="145"/>
      <c r="N745" s="115"/>
      <c r="O745" s="115"/>
      <c r="P745" s="116"/>
      <c r="Q745" s="116"/>
      <c r="R745" s="117"/>
    </row>
    <row r="746" spans="1:18" s="148" customFormat="1" ht="18" customHeight="1" x14ac:dyDescent="0.25">
      <c r="A746" s="185">
        <v>4</v>
      </c>
      <c r="B746" s="140"/>
      <c r="C746" s="140"/>
      <c r="D746" s="140"/>
      <c r="E746" s="156" t="s">
        <v>430</v>
      </c>
      <c r="F746" s="140"/>
      <c r="G746" s="142"/>
      <c r="H746" s="237" t="s">
        <v>985</v>
      </c>
      <c r="I746" s="187" t="s">
        <v>399</v>
      </c>
      <c r="J746" s="145">
        <f>18969*12</f>
        <v>227628</v>
      </c>
      <c r="K746" s="187" t="s">
        <v>399</v>
      </c>
      <c r="L746" s="145">
        <v>243540</v>
      </c>
      <c r="M746" s="146">
        <f>L746-J746</f>
        <v>15912</v>
      </c>
      <c r="N746" s="115">
        <f>L746-J746</f>
        <v>15912</v>
      </c>
      <c r="O746" s="115">
        <f>N746-M746</f>
        <v>0</v>
      </c>
      <c r="P746" s="116">
        <v>17152</v>
      </c>
      <c r="Q746" s="116">
        <f>P746*12</f>
        <v>205824</v>
      </c>
      <c r="R746" s="147">
        <f>Q746-L746</f>
        <v>-37716</v>
      </c>
    </row>
    <row r="747" spans="1:18" s="148" customFormat="1" ht="18" customHeight="1" x14ac:dyDescent="0.25">
      <c r="A747" s="143"/>
      <c r="B747" s="157"/>
      <c r="C747" s="140"/>
      <c r="D747" s="140"/>
      <c r="E747" s="156"/>
      <c r="F747" s="157"/>
      <c r="G747" s="142"/>
      <c r="H747" s="143"/>
      <c r="I747" s="213"/>
      <c r="J747" s="145"/>
      <c r="K747" s="187" t="s">
        <v>137</v>
      </c>
      <c r="L747" s="145">
        <v>246444</v>
      </c>
      <c r="M747" s="145">
        <v>1452</v>
      </c>
      <c r="N747" s="115"/>
      <c r="O747" s="115"/>
      <c r="P747" s="116"/>
      <c r="Q747" s="116"/>
      <c r="R747" s="117"/>
    </row>
    <row r="748" spans="1:18" s="148" customFormat="1" ht="18" customHeight="1" x14ac:dyDescent="0.25">
      <c r="A748" s="143"/>
      <c r="B748" s="157"/>
      <c r="C748" s="140"/>
      <c r="D748" s="140"/>
      <c r="E748" s="156"/>
      <c r="F748" s="157"/>
      <c r="G748" s="142"/>
      <c r="H748" s="143"/>
      <c r="I748" s="213"/>
      <c r="J748" s="145"/>
      <c r="K748" s="213"/>
      <c r="L748" s="151">
        <v>44397</v>
      </c>
      <c r="M748" s="145"/>
      <c r="N748" s="115"/>
      <c r="O748" s="115"/>
      <c r="P748" s="116"/>
      <c r="Q748" s="116"/>
      <c r="R748" s="117"/>
    </row>
    <row r="749" spans="1:18" s="148" customFormat="1" ht="18" customHeight="1" x14ac:dyDescent="0.25">
      <c r="A749" s="143"/>
      <c r="B749" s="157"/>
      <c r="C749" s="140"/>
      <c r="D749" s="140"/>
      <c r="E749" s="156"/>
      <c r="F749" s="157"/>
      <c r="G749" s="142"/>
      <c r="H749" s="143"/>
      <c r="I749" s="213"/>
      <c r="J749" s="145"/>
      <c r="K749" s="213"/>
      <c r="L749" s="145"/>
      <c r="M749" s="145"/>
      <c r="N749" s="115"/>
      <c r="O749" s="115"/>
      <c r="P749" s="116"/>
      <c r="Q749" s="116"/>
      <c r="R749" s="117"/>
    </row>
    <row r="750" spans="1:18" s="148" customFormat="1" ht="18" customHeight="1" x14ac:dyDescent="0.25">
      <c r="A750" s="143"/>
      <c r="B750" s="157"/>
      <c r="C750" s="140"/>
      <c r="D750" s="140"/>
      <c r="E750" s="156"/>
      <c r="F750" s="157"/>
      <c r="G750" s="142"/>
      <c r="H750" s="143"/>
      <c r="I750" s="213"/>
      <c r="J750" s="145"/>
      <c r="K750" s="213"/>
      <c r="L750" s="145"/>
      <c r="M750" s="145"/>
      <c r="N750" s="115"/>
      <c r="O750" s="115"/>
      <c r="P750" s="116"/>
      <c r="Q750" s="116"/>
      <c r="R750" s="117"/>
    </row>
    <row r="751" spans="1:18" s="148" customFormat="1" ht="18" customHeight="1" x14ac:dyDescent="0.25">
      <c r="A751" s="143"/>
      <c r="B751" s="157"/>
      <c r="C751" s="140"/>
      <c r="D751" s="140"/>
      <c r="E751" s="156"/>
      <c r="F751" s="157"/>
      <c r="G751" s="142"/>
      <c r="H751" s="143"/>
      <c r="I751" s="213"/>
      <c r="J751" s="145"/>
      <c r="K751" s="213"/>
      <c r="L751" s="145"/>
      <c r="M751" s="145"/>
      <c r="N751" s="115"/>
      <c r="O751" s="115"/>
      <c r="P751" s="116"/>
      <c r="Q751" s="116"/>
      <c r="R751" s="117"/>
    </row>
    <row r="752" spans="1:18" s="148" customFormat="1" ht="18" customHeight="1" x14ac:dyDescent="0.25">
      <c r="A752" s="143"/>
      <c r="B752" s="157"/>
      <c r="C752" s="140"/>
      <c r="D752" s="140"/>
      <c r="E752" s="156"/>
      <c r="F752" s="157"/>
      <c r="G752" s="142"/>
      <c r="H752" s="143"/>
      <c r="I752" s="213"/>
      <c r="J752" s="145"/>
      <c r="K752" s="213"/>
      <c r="L752" s="145"/>
      <c r="M752" s="145"/>
      <c r="N752" s="115"/>
      <c r="O752" s="115"/>
      <c r="P752" s="116"/>
      <c r="Q752" s="116"/>
      <c r="R752" s="117"/>
    </row>
    <row r="753" spans="1:18" s="148" customFormat="1" ht="18" customHeight="1" x14ac:dyDescent="0.25">
      <c r="A753" s="143"/>
      <c r="B753" s="157"/>
      <c r="C753" s="140"/>
      <c r="D753" s="140"/>
      <c r="E753" s="156"/>
      <c r="F753" s="157"/>
      <c r="G753" s="142"/>
      <c r="H753" s="143"/>
      <c r="I753" s="213"/>
      <c r="J753" s="145"/>
      <c r="K753" s="213"/>
      <c r="L753" s="145"/>
      <c r="M753" s="145"/>
      <c r="N753" s="115"/>
      <c r="O753" s="115"/>
      <c r="P753" s="116"/>
      <c r="Q753" s="116"/>
      <c r="R753" s="117"/>
    </row>
    <row r="754" spans="1:18" s="148" customFormat="1" ht="18" customHeight="1" x14ac:dyDescent="0.25">
      <c r="A754" s="143"/>
      <c r="B754" s="157"/>
      <c r="C754" s="140"/>
      <c r="D754" s="140"/>
      <c r="E754" s="156"/>
      <c r="F754" s="157"/>
      <c r="G754" s="142"/>
      <c r="H754" s="143"/>
      <c r="I754" s="213"/>
      <c r="J754" s="145"/>
      <c r="K754" s="213"/>
      <c r="L754" s="145"/>
      <c r="M754" s="145"/>
      <c r="N754" s="115"/>
      <c r="O754" s="115"/>
      <c r="P754" s="116"/>
      <c r="Q754" s="116"/>
      <c r="R754" s="117"/>
    </row>
    <row r="755" spans="1:18" s="148" customFormat="1" ht="18" customHeight="1" x14ac:dyDescent="0.25">
      <c r="A755" s="143"/>
      <c r="B755" s="157"/>
      <c r="C755" s="140"/>
      <c r="D755" s="140"/>
      <c r="E755" s="156"/>
      <c r="F755" s="157"/>
      <c r="G755" s="142"/>
      <c r="H755" s="143"/>
      <c r="I755" s="213"/>
      <c r="J755" s="145"/>
      <c r="K755" s="213"/>
      <c r="L755" s="145"/>
      <c r="M755" s="145"/>
      <c r="N755" s="115"/>
      <c r="O755" s="115"/>
      <c r="P755" s="116"/>
      <c r="Q755" s="116"/>
      <c r="R755" s="117"/>
    </row>
    <row r="756" spans="1:18" s="148" customFormat="1" ht="18" customHeight="1" x14ac:dyDescent="0.25">
      <c r="A756" s="143"/>
      <c r="B756" s="157"/>
      <c r="C756" s="140"/>
      <c r="D756" s="140"/>
      <c r="E756" s="156"/>
      <c r="F756" s="157"/>
      <c r="G756" s="142"/>
      <c r="H756" s="143"/>
      <c r="I756" s="213"/>
      <c r="J756" s="145"/>
      <c r="K756" s="213"/>
      <c r="L756" s="145"/>
      <c r="M756" s="145"/>
      <c r="N756" s="115"/>
      <c r="O756" s="115"/>
      <c r="P756" s="116"/>
      <c r="Q756" s="116"/>
      <c r="R756" s="117"/>
    </row>
    <row r="757" spans="1:18" s="148" customFormat="1" ht="18" customHeight="1" x14ac:dyDescent="0.25">
      <c r="A757" s="143"/>
      <c r="B757" s="157"/>
      <c r="C757" s="140"/>
      <c r="D757" s="140"/>
      <c r="E757" s="156"/>
      <c r="F757" s="157"/>
      <c r="G757" s="142"/>
      <c r="H757" s="143"/>
      <c r="I757" s="213"/>
      <c r="J757" s="145"/>
      <c r="K757" s="213"/>
      <c r="L757" s="145"/>
      <c r="M757" s="145"/>
      <c r="N757" s="115"/>
      <c r="O757" s="115"/>
      <c r="P757" s="116"/>
      <c r="Q757" s="116"/>
      <c r="R757" s="117"/>
    </row>
    <row r="758" spans="1:18" s="148" customFormat="1" ht="18" customHeight="1" x14ac:dyDescent="0.25">
      <c r="A758" s="143"/>
      <c r="B758" s="157"/>
      <c r="C758" s="140"/>
      <c r="D758" s="140"/>
      <c r="E758" s="156"/>
      <c r="F758" s="157"/>
      <c r="G758" s="142"/>
      <c r="H758" s="143"/>
      <c r="I758" s="213"/>
      <c r="J758" s="145"/>
      <c r="K758" s="213"/>
      <c r="L758" s="145"/>
      <c r="M758" s="145"/>
      <c r="N758" s="115"/>
      <c r="O758" s="115"/>
      <c r="P758" s="116"/>
      <c r="Q758" s="116"/>
      <c r="R758" s="117"/>
    </row>
    <row r="759" spans="1:18" s="148" customFormat="1" ht="18" customHeight="1" x14ac:dyDescent="0.25">
      <c r="A759" s="143"/>
      <c r="B759" s="157"/>
      <c r="C759" s="140"/>
      <c r="D759" s="140"/>
      <c r="E759" s="156"/>
      <c r="F759" s="157"/>
      <c r="G759" s="142"/>
      <c r="H759" s="143"/>
      <c r="I759" s="213"/>
      <c r="J759" s="145"/>
      <c r="K759" s="213"/>
      <c r="L759" s="145"/>
      <c r="M759" s="145"/>
      <c r="N759" s="115"/>
      <c r="O759" s="115"/>
      <c r="P759" s="116"/>
      <c r="Q759" s="116"/>
      <c r="R759" s="117"/>
    </row>
    <row r="760" spans="1:18" s="148" customFormat="1" ht="18" customHeight="1" x14ac:dyDescent="0.25">
      <c r="A760" s="143"/>
      <c r="B760" s="157"/>
      <c r="C760" s="140"/>
      <c r="D760" s="140"/>
      <c r="E760" s="156"/>
      <c r="F760" s="157"/>
      <c r="G760" s="142"/>
      <c r="H760" s="143"/>
      <c r="I760" s="213"/>
      <c r="J760" s="145"/>
      <c r="K760" s="213"/>
      <c r="L760" s="145"/>
      <c r="M760" s="145"/>
      <c r="N760" s="115"/>
      <c r="O760" s="115"/>
      <c r="P760" s="116"/>
      <c r="Q760" s="116"/>
      <c r="R760" s="117"/>
    </row>
    <row r="761" spans="1:18" s="148" customFormat="1" ht="18" customHeight="1" x14ac:dyDescent="0.25">
      <c r="A761" s="143"/>
      <c r="B761" s="157"/>
      <c r="C761" s="140"/>
      <c r="D761" s="140"/>
      <c r="E761" s="156"/>
      <c r="F761" s="157"/>
      <c r="G761" s="142"/>
      <c r="H761" s="143"/>
      <c r="I761" s="213"/>
      <c r="J761" s="145"/>
      <c r="K761" s="213"/>
      <c r="L761" s="145"/>
      <c r="M761" s="145"/>
      <c r="N761" s="115"/>
      <c r="O761" s="115"/>
      <c r="P761" s="116"/>
      <c r="Q761" s="116"/>
      <c r="R761" s="117"/>
    </row>
    <row r="762" spans="1:18" s="148" customFormat="1" ht="18" customHeight="1" x14ac:dyDescent="0.25">
      <c r="A762" s="143"/>
      <c r="B762" s="157"/>
      <c r="C762" s="140"/>
      <c r="D762" s="140"/>
      <c r="E762" s="156"/>
      <c r="F762" s="157"/>
      <c r="G762" s="142"/>
      <c r="H762" s="143"/>
      <c r="I762" s="213"/>
      <c r="J762" s="145"/>
      <c r="K762" s="213"/>
      <c r="L762" s="145"/>
      <c r="M762" s="145"/>
      <c r="N762" s="115"/>
      <c r="O762" s="115"/>
      <c r="P762" s="116"/>
      <c r="Q762" s="116"/>
      <c r="R762" s="117"/>
    </row>
    <row r="763" spans="1:18" s="148" customFormat="1" ht="18" customHeight="1" x14ac:dyDescent="0.25">
      <c r="A763" s="143"/>
      <c r="B763" s="157"/>
      <c r="C763" s="140"/>
      <c r="D763" s="140"/>
      <c r="E763" s="156"/>
      <c r="F763" s="157"/>
      <c r="G763" s="142"/>
      <c r="H763" s="143"/>
      <c r="I763" s="213"/>
      <c r="J763" s="145"/>
      <c r="K763" s="213"/>
      <c r="L763" s="145"/>
      <c r="M763" s="145"/>
      <c r="N763" s="115"/>
      <c r="O763" s="115"/>
      <c r="P763" s="116"/>
      <c r="Q763" s="116"/>
      <c r="R763" s="117"/>
    </row>
    <row r="764" spans="1:18" s="148" customFormat="1" ht="18" customHeight="1" x14ac:dyDescent="0.25">
      <c r="A764" s="143"/>
      <c r="B764" s="157"/>
      <c r="C764" s="140"/>
      <c r="D764" s="140"/>
      <c r="E764" s="156"/>
      <c r="F764" s="157"/>
      <c r="G764" s="142"/>
      <c r="H764" s="143"/>
      <c r="I764" s="213"/>
      <c r="J764" s="145"/>
      <c r="K764" s="213"/>
      <c r="L764" s="145"/>
      <c r="M764" s="145"/>
      <c r="N764" s="115"/>
      <c r="O764" s="115"/>
      <c r="P764" s="116"/>
      <c r="Q764" s="116"/>
      <c r="R764" s="117"/>
    </row>
    <row r="765" spans="1:18" s="148" customFormat="1" ht="18" customHeight="1" x14ac:dyDescent="0.25">
      <c r="A765" s="143"/>
      <c r="B765" s="157"/>
      <c r="C765" s="140"/>
      <c r="D765" s="140"/>
      <c r="E765" s="156"/>
      <c r="F765" s="157"/>
      <c r="G765" s="142"/>
      <c r="H765" s="143"/>
      <c r="I765" s="213"/>
      <c r="J765" s="145"/>
      <c r="K765" s="213"/>
      <c r="L765" s="145"/>
      <c r="M765" s="145"/>
      <c r="N765" s="115"/>
      <c r="O765" s="115"/>
      <c r="P765" s="116"/>
      <c r="Q765" s="116"/>
      <c r="R765" s="117"/>
    </row>
    <row r="766" spans="1:18" s="148" customFormat="1" ht="18" customHeight="1" x14ac:dyDescent="0.25">
      <c r="A766" s="143"/>
      <c r="B766" s="157"/>
      <c r="C766" s="140"/>
      <c r="D766" s="140"/>
      <c r="E766" s="156"/>
      <c r="F766" s="157"/>
      <c r="G766" s="142"/>
      <c r="H766" s="143"/>
      <c r="I766" s="213"/>
      <c r="J766" s="145"/>
      <c r="K766" s="213"/>
      <c r="L766" s="145"/>
      <c r="M766" s="145"/>
      <c r="N766" s="115"/>
      <c r="O766" s="115"/>
      <c r="P766" s="116"/>
      <c r="Q766" s="116"/>
      <c r="R766" s="117"/>
    </row>
    <row r="767" spans="1:18" s="148" customFormat="1" ht="18" customHeight="1" x14ac:dyDescent="0.25">
      <c r="A767" s="143"/>
      <c r="B767" s="157"/>
      <c r="C767" s="140"/>
      <c r="D767" s="140"/>
      <c r="E767" s="156"/>
      <c r="F767" s="157"/>
      <c r="G767" s="142"/>
      <c r="H767" s="143"/>
      <c r="I767" s="213"/>
      <c r="J767" s="145"/>
      <c r="K767" s="213"/>
      <c r="L767" s="145"/>
      <c r="M767" s="145"/>
      <c r="N767" s="115"/>
      <c r="O767" s="115"/>
      <c r="P767" s="116"/>
      <c r="Q767" s="116"/>
      <c r="R767" s="117"/>
    </row>
    <row r="768" spans="1:18" s="148" customFormat="1" ht="18" customHeight="1" x14ac:dyDescent="0.25">
      <c r="A768" s="143"/>
      <c r="B768" s="157"/>
      <c r="C768" s="140"/>
      <c r="D768" s="140"/>
      <c r="E768" s="156"/>
      <c r="F768" s="157"/>
      <c r="G768" s="142"/>
      <c r="H768" s="143"/>
      <c r="I768" s="213"/>
      <c r="J768" s="145"/>
      <c r="K768" s="213"/>
      <c r="L768" s="145"/>
      <c r="M768" s="145"/>
      <c r="N768" s="115"/>
      <c r="O768" s="115"/>
      <c r="P768" s="116"/>
      <c r="Q768" s="116"/>
      <c r="R768" s="117"/>
    </row>
    <row r="769" spans="1:18" s="148" customFormat="1" ht="18" customHeight="1" x14ac:dyDescent="0.25">
      <c r="A769" s="143"/>
      <c r="B769" s="157"/>
      <c r="C769" s="140"/>
      <c r="D769" s="140"/>
      <c r="E769" s="156"/>
      <c r="F769" s="157"/>
      <c r="G769" s="142"/>
      <c r="H769" s="143"/>
      <c r="I769" s="213"/>
      <c r="J769" s="145"/>
      <c r="K769" s="213"/>
      <c r="L769" s="145"/>
      <c r="M769" s="145"/>
      <c r="N769" s="115"/>
      <c r="O769" s="115"/>
      <c r="P769" s="116"/>
      <c r="Q769" s="116"/>
      <c r="R769" s="117"/>
    </row>
    <row r="770" spans="1:18" s="170" customFormat="1" ht="18" customHeight="1" thickBot="1" x14ac:dyDescent="0.3">
      <c r="A770" s="164"/>
      <c r="B770" s="161"/>
      <c r="C770" s="160"/>
      <c r="D770" s="160"/>
      <c r="E770" s="159"/>
      <c r="F770" s="161"/>
      <c r="G770" s="162"/>
      <c r="H770" s="163" t="s">
        <v>15</v>
      </c>
      <c r="I770" s="165"/>
      <c r="J770" s="165">
        <f>SUM(J731:J769)</f>
        <v>1605696</v>
      </c>
      <c r="K770" s="165"/>
      <c r="L770" s="165"/>
      <c r="M770" s="165">
        <f>SUM(M731:M769)</f>
        <v>61674</v>
      </c>
      <c r="N770" s="167"/>
      <c r="O770" s="167"/>
      <c r="P770" s="168"/>
      <c r="Q770" s="168"/>
      <c r="R770" s="169"/>
    </row>
    <row r="771" spans="1:18" s="148" customFormat="1" ht="18" customHeight="1" thickTop="1" x14ac:dyDescent="0.25">
      <c r="A771" s="157"/>
      <c r="B771" s="157"/>
      <c r="C771" s="140"/>
      <c r="D771" s="140"/>
      <c r="E771" s="157"/>
      <c r="F771" s="157"/>
      <c r="G771" s="157"/>
      <c r="H771" s="140"/>
      <c r="I771" s="157"/>
      <c r="J771" s="171"/>
      <c r="K771" s="174"/>
      <c r="L771" s="173"/>
      <c r="M771" s="173"/>
      <c r="N771" s="115"/>
      <c r="O771" s="115"/>
      <c r="P771" s="116"/>
      <c r="Q771" s="116"/>
      <c r="R771" s="117"/>
    </row>
    <row r="772" spans="1:18" s="148" customFormat="1" ht="18" customHeight="1" x14ac:dyDescent="0.25">
      <c r="A772" s="157"/>
      <c r="B772" s="157"/>
      <c r="C772" s="140"/>
      <c r="D772" s="140"/>
      <c r="E772" s="157"/>
      <c r="F772" s="157"/>
      <c r="G772" s="157"/>
      <c r="H772" s="140"/>
      <c r="I772" s="157"/>
      <c r="J772" s="171"/>
      <c r="K772" s="174"/>
      <c r="L772" s="173"/>
      <c r="M772" s="173"/>
      <c r="N772" s="115"/>
      <c r="O772" s="115"/>
      <c r="P772" s="116"/>
      <c r="Q772" s="116"/>
      <c r="R772" s="117"/>
    </row>
    <row r="773" spans="1:18" s="148" customFormat="1" ht="18" customHeight="1" x14ac:dyDescent="0.25">
      <c r="A773" s="157"/>
      <c r="B773" s="157"/>
      <c r="C773" s="140"/>
      <c r="D773" s="140"/>
      <c r="E773" s="157"/>
      <c r="F773" s="157"/>
      <c r="G773" s="157"/>
      <c r="H773" s="157"/>
      <c r="I773" s="157"/>
      <c r="J773" s="157"/>
      <c r="K773" s="174"/>
      <c r="L773" s="172"/>
      <c r="M773" s="172"/>
      <c r="N773" s="115"/>
      <c r="O773" s="115"/>
      <c r="P773" s="116"/>
      <c r="Q773" s="116"/>
      <c r="R773" s="117"/>
    </row>
    <row r="774" spans="1:18" s="148" customFormat="1" ht="18" customHeight="1" x14ac:dyDescent="0.25">
      <c r="A774" s="175" t="s">
        <v>636</v>
      </c>
      <c r="B774" s="175"/>
      <c r="C774" s="932"/>
      <c r="D774" s="932"/>
      <c r="E774" s="176"/>
      <c r="F774" s="176"/>
      <c r="G774" s="176"/>
      <c r="H774" s="175" t="s">
        <v>637</v>
      </c>
      <c r="I774" s="176"/>
      <c r="K774" s="175" t="s">
        <v>264</v>
      </c>
      <c r="L774" s="177"/>
      <c r="M774" s="177"/>
      <c r="N774" s="115"/>
      <c r="O774" s="115"/>
      <c r="P774" s="116"/>
      <c r="Q774" s="116"/>
      <c r="R774" s="117"/>
    </row>
    <row r="775" spans="1:18" s="148" customFormat="1" ht="18" customHeight="1" x14ac:dyDescent="0.25">
      <c r="A775" s="176"/>
      <c r="B775" s="176"/>
      <c r="C775" s="933"/>
      <c r="D775" s="933"/>
      <c r="E775" s="176"/>
      <c r="F775" s="176"/>
      <c r="G775" s="176"/>
      <c r="H775" s="176"/>
      <c r="I775" s="176"/>
      <c r="J775" s="176"/>
      <c r="K775" s="178"/>
      <c r="L775" s="177"/>
      <c r="M775" s="177"/>
      <c r="N775" s="115"/>
      <c r="O775" s="115"/>
      <c r="P775" s="116"/>
      <c r="Q775" s="116"/>
      <c r="R775" s="117"/>
    </row>
    <row r="776" spans="1:18" s="148" customFormat="1" ht="18" customHeight="1" x14ac:dyDescent="0.25">
      <c r="A776" s="1131" t="s">
        <v>66</v>
      </c>
      <c r="B776" s="1131"/>
      <c r="C776" s="1131"/>
      <c r="D776" s="1131"/>
      <c r="E776" s="1131"/>
      <c r="F776" s="1131"/>
      <c r="G776" s="176"/>
      <c r="H776" s="1131" t="s">
        <v>17</v>
      </c>
      <c r="I776" s="1131"/>
      <c r="J776" s="176"/>
      <c r="K776" s="1131" t="s">
        <v>1493</v>
      </c>
      <c r="L776" s="1131"/>
      <c r="M776" s="1131"/>
      <c r="N776" s="115"/>
      <c r="O776" s="115"/>
      <c r="P776" s="116"/>
      <c r="Q776" s="116"/>
      <c r="R776" s="117"/>
    </row>
    <row r="777" spans="1:18" s="148" customFormat="1" ht="18" customHeight="1" x14ac:dyDescent="0.25">
      <c r="A777" s="1132" t="s">
        <v>437</v>
      </c>
      <c r="B777" s="1132"/>
      <c r="C777" s="1132"/>
      <c r="D777" s="1132"/>
      <c r="E777" s="1132"/>
      <c r="F777" s="1132"/>
      <c r="G777" s="179"/>
      <c r="H777" s="1132" t="s">
        <v>18</v>
      </c>
      <c r="I777" s="1132"/>
      <c r="J777" s="932"/>
      <c r="K777" s="1132" t="s">
        <v>14</v>
      </c>
      <c r="L777" s="1132"/>
      <c r="M777" s="1132"/>
      <c r="N777" s="115"/>
      <c r="O777" s="115"/>
      <c r="P777" s="116"/>
      <c r="Q777" s="116"/>
      <c r="R777" s="117"/>
    </row>
    <row r="778" spans="1:18" ht="18" customHeight="1" x14ac:dyDescent="0.2">
      <c r="A778" s="111"/>
      <c r="B778" s="111"/>
      <c r="C778" s="930"/>
      <c r="D778" s="930"/>
      <c r="E778" s="1121"/>
      <c r="F778" s="1121"/>
      <c r="G778" s="1121"/>
      <c r="H778" s="930"/>
      <c r="I778" s="930"/>
      <c r="J778" s="930"/>
      <c r="K778" s="1121"/>
      <c r="L778" s="1121"/>
      <c r="M778" s="1121"/>
    </row>
    <row r="779" spans="1:18" ht="18" customHeight="1" x14ac:dyDescent="0.2">
      <c r="A779" s="111"/>
      <c r="B779" s="111"/>
      <c r="C779" s="930"/>
      <c r="D779" s="930"/>
      <c r="E779" s="930"/>
      <c r="F779" s="930"/>
      <c r="G779" s="930"/>
      <c r="H779" s="930"/>
      <c r="I779" s="930"/>
      <c r="J779" s="930"/>
      <c r="K779" s="930"/>
      <c r="L779" s="930"/>
      <c r="M779" s="930"/>
    </row>
    <row r="780" spans="1:18" ht="18" customHeight="1" x14ac:dyDescent="0.2">
      <c r="A780" s="111"/>
      <c r="B780" s="111"/>
      <c r="C780" s="930"/>
      <c r="D780" s="930"/>
      <c r="E780" s="930"/>
      <c r="F780" s="930"/>
      <c r="G780" s="930"/>
      <c r="H780" s="930"/>
      <c r="I780" s="930"/>
      <c r="J780" s="930"/>
      <c r="K780" s="930"/>
      <c r="L780" s="930"/>
      <c r="M780" s="930"/>
    </row>
    <row r="781" spans="1:18" ht="18" customHeight="1" x14ac:dyDescent="0.2">
      <c r="A781" s="111"/>
      <c r="B781" s="111"/>
      <c r="C781" s="930"/>
      <c r="D781" s="930"/>
      <c r="E781" s="930"/>
      <c r="F781" s="930"/>
      <c r="G781" s="930"/>
      <c r="H781" s="930"/>
      <c r="I781" s="930"/>
      <c r="J781" s="930"/>
      <c r="K781" s="930"/>
      <c r="L781" s="930"/>
      <c r="M781" s="930"/>
    </row>
    <row r="782" spans="1:18" ht="18" customHeight="1" x14ac:dyDescent="0.2">
      <c r="A782" s="111"/>
      <c r="B782" s="111"/>
      <c r="C782" s="930"/>
      <c r="D782" s="930"/>
      <c r="E782" s="930"/>
      <c r="F782" s="930"/>
      <c r="G782" s="930"/>
      <c r="H782" s="930"/>
      <c r="I782" s="930"/>
      <c r="J782" s="930"/>
      <c r="K782" s="930"/>
      <c r="L782" s="930"/>
      <c r="M782" s="930"/>
    </row>
    <row r="783" spans="1:18" ht="18" customHeight="1" x14ac:dyDescent="0.2">
      <c r="A783" s="111"/>
      <c r="B783" s="111"/>
      <c r="C783" s="930"/>
      <c r="D783" s="930"/>
      <c r="E783" s="930"/>
      <c r="F783" s="930"/>
      <c r="G783" s="930"/>
      <c r="H783" s="930"/>
      <c r="I783" s="930"/>
      <c r="J783" s="930"/>
      <c r="K783" s="930"/>
      <c r="L783" s="930"/>
      <c r="M783" s="930"/>
    </row>
    <row r="784" spans="1:18" ht="18" customHeight="1" x14ac:dyDescent="0.2">
      <c r="A784" s="111"/>
      <c r="B784" s="111"/>
      <c r="C784" s="930"/>
      <c r="D784" s="930"/>
      <c r="E784" s="930"/>
      <c r="F784" s="930"/>
      <c r="G784" s="930"/>
      <c r="H784" s="930"/>
      <c r="I784" s="930"/>
      <c r="J784" s="930"/>
      <c r="K784" s="930"/>
      <c r="L784" s="930"/>
      <c r="M784" s="930"/>
    </row>
    <row r="785" spans="1:22" s="115" customFormat="1" ht="18" customHeight="1" x14ac:dyDescent="0.2">
      <c r="A785" s="111"/>
      <c r="B785" s="111"/>
      <c r="C785" s="930"/>
      <c r="D785" s="930"/>
      <c r="E785" s="930"/>
      <c r="F785" s="930"/>
      <c r="G785" s="930"/>
      <c r="H785" s="930"/>
      <c r="I785" s="930"/>
      <c r="J785" s="930"/>
      <c r="K785" s="930"/>
      <c r="L785" s="930"/>
      <c r="M785" s="930"/>
      <c r="P785" s="116"/>
      <c r="Q785" s="116"/>
      <c r="R785" s="117"/>
      <c r="S785" s="118"/>
      <c r="T785" s="118"/>
      <c r="U785" s="118"/>
      <c r="V785" s="118"/>
    </row>
    <row r="786" spans="1:22" s="115" customFormat="1" ht="18" customHeight="1" x14ac:dyDescent="0.2">
      <c r="A786" s="111"/>
      <c r="B786" s="111"/>
      <c r="C786" s="930"/>
      <c r="D786" s="930"/>
      <c r="E786" s="930"/>
      <c r="F786" s="930"/>
      <c r="G786" s="930"/>
      <c r="H786" s="930"/>
      <c r="I786" s="930"/>
      <c r="J786" s="930"/>
      <c r="K786" s="930"/>
      <c r="L786" s="930"/>
      <c r="M786" s="930"/>
      <c r="P786" s="116"/>
      <c r="Q786" s="116"/>
      <c r="R786" s="117"/>
      <c r="S786" s="118"/>
      <c r="T786" s="118"/>
      <c r="U786" s="118"/>
      <c r="V786" s="118"/>
    </row>
    <row r="787" spans="1:22" s="115" customFormat="1" ht="18" customHeight="1" x14ac:dyDescent="0.2">
      <c r="A787" s="118"/>
      <c r="B787" s="118"/>
      <c r="C787" s="212"/>
      <c r="D787" s="212"/>
      <c r="E787" s="118"/>
      <c r="F787" s="118"/>
      <c r="G787" s="118"/>
      <c r="H787" s="118"/>
      <c r="I787" s="118"/>
      <c r="J787" s="118"/>
      <c r="K787" s="136"/>
      <c r="L787" s="113"/>
      <c r="M787" s="180"/>
      <c r="P787" s="116"/>
      <c r="Q787" s="116"/>
      <c r="R787" s="117"/>
      <c r="S787" s="118"/>
      <c r="T787" s="118"/>
      <c r="U787" s="118"/>
      <c r="V787" s="118"/>
    </row>
    <row r="788" spans="1:22" s="115" customFormat="1" ht="20.100000000000001" customHeight="1" x14ac:dyDescent="0.35">
      <c r="A788" s="1142" t="s">
        <v>1010</v>
      </c>
      <c r="B788" s="1142"/>
      <c r="C788" s="1142"/>
      <c r="D788" s="1142"/>
      <c r="E788" s="1142"/>
      <c r="F788" s="1142"/>
      <c r="G788" s="1142"/>
      <c r="H788" s="1142"/>
      <c r="I788" s="1142"/>
      <c r="J788" s="1142"/>
      <c r="K788" s="1142"/>
      <c r="L788" s="1142"/>
      <c r="M788" s="1142"/>
      <c r="P788" s="116"/>
      <c r="Q788" s="116"/>
      <c r="R788" s="117"/>
      <c r="S788" s="118"/>
      <c r="T788" s="118"/>
      <c r="U788" s="118"/>
      <c r="V788" s="118"/>
    </row>
    <row r="789" spans="1:22" s="115" customFormat="1" ht="18" customHeight="1" x14ac:dyDescent="0.2">
      <c r="A789" s="110"/>
      <c r="B789" s="110"/>
      <c r="C789" s="937"/>
      <c r="D789" s="937"/>
      <c r="E789" s="111"/>
      <c r="F789" s="111"/>
      <c r="G789" s="111"/>
      <c r="H789" s="111"/>
      <c r="I789" s="111"/>
      <c r="J789" s="111"/>
      <c r="K789" s="112"/>
      <c r="L789" s="113"/>
      <c r="M789" s="114"/>
      <c r="P789" s="116"/>
      <c r="Q789" s="116"/>
      <c r="R789" s="117"/>
      <c r="S789" s="118"/>
      <c r="T789" s="118"/>
      <c r="U789" s="118"/>
      <c r="V789" s="118"/>
    </row>
    <row r="790" spans="1:22" s="115" customFormat="1" ht="18" customHeight="1" x14ac:dyDescent="0.3">
      <c r="A790" s="1119" t="s">
        <v>1549</v>
      </c>
      <c r="B790" s="1119"/>
      <c r="C790" s="1119"/>
      <c r="D790" s="1119"/>
      <c r="E790" s="1119"/>
      <c r="F790" s="1119"/>
      <c r="G790" s="1119"/>
      <c r="H790" s="1119"/>
      <c r="I790" s="1119"/>
      <c r="J790" s="1119"/>
      <c r="K790" s="1119"/>
      <c r="L790" s="1119"/>
      <c r="M790" s="1119"/>
      <c r="P790" s="116"/>
      <c r="Q790" s="116"/>
      <c r="R790" s="117"/>
      <c r="S790" s="118"/>
      <c r="T790" s="118"/>
      <c r="U790" s="118"/>
      <c r="V790" s="118"/>
    </row>
    <row r="791" spans="1:22" s="115" customFormat="1" ht="18" customHeight="1" x14ac:dyDescent="0.3">
      <c r="A791" s="1120" t="s">
        <v>364</v>
      </c>
      <c r="B791" s="1120"/>
      <c r="C791" s="1120"/>
      <c r="D791" s="1120"/>
      <c r="E791" s="1120"/>
      <c r="F791" s="1120"/>
      <c r="G791" s="1120"/>
      <c r="H791" s="1120"/>
      <c r="I791" s="1120"/>
      <c r="J791" s="1120"/>
      <c r="K791" s="1120"/>
      <c r="L791" s="1120"/>
      <c r="M791" s="1120"/>
      <c r="P791" s="116"/>
      <c r="Q791" s="116"/>
      <c r="R791" s="117"/>
      <c r="S791" s="118"/>
      <c r="T791" s="118"/>
      <c r="U791" s="118"/>
      <c r="V791" s="118"/>
    </row>
    <row r="792" spans="1:22" s="115" customFormat="1" ht="18" customHeight="1" x14ac:dyDescent="0.2">
      <c r="A792" s="1121"/>
      <c r="B792" s="1121"/>
      <c r="C792" s="1121"/>
      <c r="D792" s="1121"/>
      <c r="E792" s="1121"/>
      <c r="F792" s="1121"/>
      <c r="G792" s="1121"/>
      <c r="H792" s="1121"/>
      <c r="I792" s="1121"/>
      <c r="J792" s="1121"/>
      <c r="K792" s="1121"/>
      <c r="L792" s="1121"/>
      <c r="M792" s="1121"/>
      <c r="P792" s="116"/>
      <c r="Q792" s="116"/>
      <c r="R792" s="117"/>
      <c r="S792" s="118"/>
      <c r="T792" s="118"/>
      <c r="U792" s="118"/>
      <c r="V792" s="118"/>
    </row>
    <row r="793" spans="1:22" s="115" customFormat="1" ht="18" customHeight="1" x14ac:dyDescent="0.2">
      <c r="A793" s="930"/>
      <c r="B793" s="930"/>
      <c r="C793" s="930"/>
      <c r="D793" s="930"/>
      <c r="E793" s="930"/>
      <c r="F793" s="930"/>
      <c r="G793" s="930"/>
      <c r="H793" s="930"/>
      <c r="I793" s="930"/>
      <c r="J793" s="930"/>
      <c r="K793" s="930"/>
      <c r="L793" s="930"/>
      <c r="M793" s="930"/>
      <c r="P793" s="116"/>
      <c r="Q793" s="116"/>
      <c r="R793" s="117"/>
      <c r="S793" s="118"/>
      <c r="T793" s="118"/>
      <c r="U793" s="118"/>
      <c r="V793" s="118"/>
    </row>
    <row r="794" spans="1:22" s="115" customFormat="1" ht="18" customHeight="1" x14ac:dyDescent="0.2">
      <c r="A794" s="111" t="s">
        <v>457</v>
      </c>
      <c r="B794" s="111"/>
      <c r="C794" s="111" t="s">
        <v>455</v>
      </c>
      <c r="D794" s="111" t="s">
        <v>325</v>
      </c>
      <c r="E794" s="111"/>
      <c r="F794" s="111"/>
      <c r="G794" s="111"/>
      <c r="H794" s="111"/>
      <c r="I794" s="930"/>
      <c r="J794" s="930"/>
      <c r="K794" s="930"/>
      <c r="L794" s="930"/>
      <c r="M794" s="930"/>
      <c r="P794" s="116"/>
      <c r="Q794" s="116"/>
      <c r="R794" s="117"/>
      <c r="S794" s="118"/>
      <c r="T794" s="118"/>
      <c r="U794" s="118"/>
      <c r="V794" s="118"/>
    </row>
    <row r="795" spans="1:22" s="115" customFormat="1" ht="18" customHeight="1" x14ac:dyDescent="0.25">
      <c r="A795" s="111" t="s">
        <v>465</v>
      </c>
      <c r="B795" s="111"/>
      <c r="C795" s="111" t="s">
        <v>455</v>
      </c>
      <c r="D795" s="111" t="s">
        <v>479</v>
      </c>
      <c r="E795" s="111"/>
      <c r="F795" s="111"/>
      <c r="G795" s="111"/>
      <c r="H795" s="111"/>
      <c r="I795" s="930"/>
      <c r="J795" s="930"/>
      <c r="K795" s="930"/>
      <c r="L795" s="930"/>
      <c r="M795" s="930"/>
      <c r="N795" s="182"/>
      <c r="P795" s="116"/>
      <c r="Q795" s="116"/>
      <c r="R795" s="117"/>
      <c r="S795" s="118"/>
      <c r="T795" s="118"/>
      <c r="U795" s="118"/>
      <c r="V795" s="118"/>
    </row>
    <row r="796" spans="1:22" s="115" customFormat="1" ht="18" customHeight="1" thickBot="1" x14ac:dyDescent="0.3">
      <c r="A796" s="111" t="s">
        <v>472</v>
      </c>
      <c r="B796" s="111"/>
      <c r="C796" s="111" t="s">
        <v>455</v>
      </c>
      <c r="D796" s="111" t="s">
        <v>691</v>
      </c>
      <c r="E796" s="111"/>
      <c r="F796" s="111"/>
      <c r="G796" s="111"/>
      <c r="H796" s="111"/>
      <c r="I796" s="930"/>
      <c r="J796" s="930"/>
      <c r="K796" s="930"/>
      <c r="L796" s="930"/>
      <c r="M796" s="930"/>
      <c r="N796" s="182"/>
      <c r="P796" s="116"/>
      <c r="Q796" s="116"/>
      <c r="R796" s="117"/>
      <c r="S796" s="118"/>
      <c r="T796" s="118"/>
      <c r="U796" s="118"/>
      <c r="V796" s="118"/>
    </row>
    <row r="797" spans="1:22" s="115" customFormat="1" ht="18" customHeight="1" x14ac:dyDescent="0.25">
      <c r="A797" s="1122" t="s">
        <v>642</v>
      </c>
      <c r="B797" s="1123"/>
      <c r="C797" s="1123"/>
      <c r="D797" s="1123"/>
      <c r="E797" s="1124"/>
      <c r="F797" s="1123"/>
      <c r="G797" s="1125"/>
      <c r="H797" s="121"/>
      <c r="I797" s="1126" t="s">
        <v>646</v>
      </c>
      <c r="J797" s="1127"/>
      <c r="K797" s="1126" t="s">
        <v>646</v>
      </c>
      <c r="L797" s="1127"/>
      <c r="M797" s="122"/>
      <c r="N797" s="182"/>
      <c r="P797" s="116"/>
      <c r="Q797" s="116"/>
      <c r="R797" s="117"/>
      <c r="S797" s="118"/>
      <c r="T797" s="118"/>
      <c r="U797" s="118"/>
      <c r="V797" s="118"/>
    </row>
    <row r="798" spans="1:22" s="115" customFormat="1" ht="18" customHeight="1" x14ac:dyDescent="0.2">
      <c r="A798" s="123" t="s">
        <v>643</v>
      </c>
      <c r="B798" s="1133" t="s">
        <v>644</v>
      </c>
      <c r="C798" s="1134"/>
      <c r="D798" s="1135"/>
      <c r="E798" s="1136" t="s">
        <v>45</v>
      </c>
      <c r="F798" s="1137"/>
      <c r="G798" s="1138"/>
      <c r="H798" s="934" t="s">
        <v>46</v>
      </c>
      <c r="I798" s="1136" t="s">
        <v>1492</v>
      </c>
      <c r="J798" s="1138"/>
      <c r="K798" s="1137" t="s">
        <v>1550</v>
      </c>
      <c r="L798" s="1138"/>
      <c r="M798" s="124" t="s">
        <v>47</v>
      </c>
      <c r="P798" s="116"/>
      <c r="Q798" s="116"/>
      <c r="R798" s="117"/>
      <c r="S798" s="118"/>
      <c r="T798" s="118"/>
      <c r="U798" s="118"/>
      <c r="V798" s="118"/>
    </row>
    <row r="799" spans="1:22" ht="18" customHeight="1" x14ac:dyDescent="0.2">
      <c r="A799" s="125"/>
      <c r="B799" s="934"/>
      <c r="C799" s="935"/>
      <c r="D799" s="935"/>
      <c r="E799" s="934"/>
      <c r="F799" s="935"/>
      <c r="G799" s="936"/>
      <c r="H799" s="934" t="s">
        <v>48</v>
      </c>
      <c r="I799" s="1139" t="s">
        <v>1551</v>
      </c>
      <c r="J799" s="1140"/>
      <c r="K799" s="1139"/>
      <c r="L799" s="1140"/>
      <c r="M799" s="124" t="s">
        <v>49</v>
      </c>
    </row>
    <row r="800" spans="1:22" ht="18" customHeight="1" x14ac:dyDescent="0.2">
      <c r="A800" s="125"/>
      <c r="B800" s="934"/>
      <c r="C800" s="935"/>
      <c r="D800" s="935"/>
      <c r="E800" s="934"/>
      <c r="F800" s="935"/>
      <c r="G800" s="126"/>
      <c r="H800" s="127"/>
      <c r="I800" s="128" t="s">
        <v>645</v>
      </c>
      <c r="J800" s="129" t="s">
        <v>50</v>
      </c>
      <c r="K800" s="128" t="s">
        <v>645</v>
      </c>
      <c r="L800" s="129" t="s">
        <v>50</v>
      </c>
      <c r="M800" s="124"/>
    </row>
    <row r="801" spans="1:18" ht="18" customHeight="1" thickBot="1" x14ac:dyDescent="0.25">
      <c r="A801" s="130"/>
      <c r="B801" s="1128"/>
      <c r="C801" s="1129"/>
      <c r="D801" s="1130"/>
      <c r="E801" s="1128"/>
      <c r="F801" s="1129"/>
      <c r="G801" s="1130"/>
      <c r="H801" s="131"/>
      <c r="I801" s="131"/>
      <c r="J801" s="131"/>
      <c r="K801" s="131"/>
      <c r="L801" s="131"/>
      <c r="M801" s="132"/>
    </row>
    <row r="802" spans="1:18" ht="18" customHeight="1" x14ac:dyDescent="0.2">
      <c r="A802" s="183"/>
      <c r="B802" s="119"/>
      <c r="C802" s="119"/>
      <c r="D802" s="119"/>
      <c r="E802" s="133"/>
      <c r="F802" s="119"/>
      <c r="G802" s="134"/>
      <c r="H802" s="135"/>
      <c r="I802" s="184"/>
      <c r="J802" s="137"/>
      <c r="K802" s="184"/>
      <c r="L802" s="137"/>
      <c r="M802" s="137"/>
    </row>
    <row r="803" spans="1:18" s="148" customFormat="1" ht="18" customHeight="1" x14ac:dyDescent="0.25">
      <c r="A803" s="185">
        <v>1</v>
      </c>
      <c r="B803" s="140"/>
      <c r="C803" s="140"/>
      <c r="D803" s="140"/>
      <c r="E803" s="156" t="s">
        <v>80</v>
      </c>
      <c r="F803" s="140"/>
      <c r="G803" s="142"/>
      <c r="H803" s="143" t="s">
        <v>439</v>
      </c>
      <c r="I803" s="187" t="s">
        <v>254</v>
      </c>
      <c r="J803" s="145">
        <f>74693*12</f>
        <v>896316</v>
      </c>
      <c r="K803" s="187" t="s">
        <v>254</v>
      </c>
      <c r="L803" s="145">
        <v>913884</v>
      </c>
      <c r="M803" s="146">
        <f>L803-J803</f>
        <v>17568</v>
      </c>
      <c r="N803" s="115">
        <f>L803-J803</f>
        <v>17568</v>
      </c>
      <c r="O803" s="115">
        <f>N803-M803</f>
        <v>0</v>
      </c>
      <c r="P803" s="116">
        <v>63237</v>
      </c>
      <c r="Q803" s="116">
        <f>P803*12</f>
        <v>758844</v>
      </c>
      <c r="R803" s="147">
        <f>Q803-L803</f>
        <v>-155040</v>
      </c>
    </row>
    <row r="804" spans="1:18" s="148" customFormat="1" ht="18" customHeight="1" x14ac:dyDescent="0.25">
      <c r="A804" s="185"/>
      <c r="B804" s="140"/>
      <c r="C804" s="140"/>
      <c r="D804" s="140"/>
      <c r="E804" s="156" t="s">
        <v>921</v>
      </c>
      <c r="F804" s="140"/>
      <c r="G804" s="142"/>
      <c r="H804" s="143"/>
      <c r="I804" s="187"/>
      <c r="J804" s="145"/>
      <c r="K804" s="187" t="s">
        <v>906</v>
      </c>
      <c r="L804" s="145">
        <v>928800</v>
      </c>
      <c r="M804" s="146">
        <v>13673</v>
      </c>
      <c r="N804" s="115"/>
      <c r="O804" s="115"/>
      <c r="P804" s="116">
        <v>64185</v>
      </c>
      <c r="Q804" s="116">
        <f>P804*12</f>
        <v>770220</v>
      </c>
      <c r="R804" s="147">
        <f>Q804-L804</f>
        <v>-158580</v>
      </c>
    </row>
    <row r="805" spans="1:18" s="148" customFormat="1" ht="18" customHeight="1" x14ac:dyDescent="0.25">
      <c r="A805" s="185"/>
      <c r="B805" s="140"/>
      <c r="C805" s="140"/>
      <c r="D805" s="140"/>
      <c r="E805" s="156"/>
      <c r="F805" s="140"/>
      <c r="G805" s="142"/>
      <c r="H805" s="143"/>
      <c r="I805" s="187"/>
      <c r="J805" s="145"/>
      <c r="K805" s="187"/>
      <c r="L805" s="151">
        <v>44235</v>
      </c>
      <c r="M805" s="146"/>
      <c r="N805" s="115"/>
      <c r="O805" s="115"/>
      <c r="P805" s="116"/>
      <c r="Q805" s="116"/>
      <c r="R805" s="147"/>
    </row>
    <row r="806" spans="1:18" s="148" customFormat="1" ht="18" customHeight="1" x14ac:dyDescent="0.25">
      <c r="A806" s="185"/>
      <c r="B806" s="140"/>
      <c r="C806" s="140"/>
      <c r="D806" s="140"/>
      <c r="E806" s="156"/>
      <c r="F806" s="140"/>
      <c r="G806" s="142"/>
      <c r="H806" s="143"/>
      <c r="I806" s="187"/>
      <c r="J806" s="151"/>
      <c r="K806" s="187"/>
      <c r="L806" s="151"/>
      <c r="M806" s="146"/>
      <c r="N806" s="115"/>
      <c r="O806" s="115"/>
      <c r="P806" s="116"/>
      <c r="Q806" s="116"/>
      <c r="R806" s="117"/>
    </row>
    <row r="807" spans="1:18" s="148" customFormat="1" ht="18" customHeight="1" x14ac:dyDescent="0.25">
      <c r="A807" s="185"/>
      <c r="B807" s="140"/>
      <c r="C807" s="140"/>
      <c r="D807" s="140"/>
      <c r="E807" s="156"/>
      <c r="F807" s="140"/>
      <c r="G807" s="142"/>
      <c r="H807" s="143"/>
      <c r="I807" s="188"/>
      <c r="J807" s="151"/>
      <c r="K807" s="188"/>
      <c r="L807" s="151"/>
      <c r="M807" s="146"/>
      <c r="N807" s="115"/>
      <c r="O807" s="115"/>
      <c r="P807" s="116"/>
      <c r="Q807" s="116"/>
      <c r="R807" s="117"/>
    </row>
    <row r="808" spans="1:18" s="148" customFormat="1" ht="18" customHeight="1" x14ac:dyDescent="0.25">
      <c r="A808" s="185">
        <v>2</v>
      </c>
      <c r="B808" s="140"/>
      <c r="C808" s="140"/>
      <c r="D808" s="140"/>
      <c r="E808" s="156" t="s">
        <v>116</v>
      </c>
      <c r="F808" s="140"/>
      <c r="G808" s="142"/>
      <c r="H808" s="143" t="s">
        <v>117</v>
      </c>
      <c r="I808" s="187" t="s">
        <v>1499</v>
      </c>
      <c r="J808" s="145">
        <f>17917*12</f>
        <v>215004</v>
      </c>
      <c r="K808" s="187" t="s">
        <v>1499</v>
      </c>
      <c r="L808" s="145">
        <v>225480</v>
      </c>
      <c r="M808" s="146">
        <f>L808-J808</f>
        <v>10476</v>
      </c>
      <c r="N808" s="115">
        <f>L808-J808</f>
        <v>10476</v>
      </c>
      <c r="O808" s="115">
        <f>N808-M808</f>
        <v>0</v>
      </c>
      <c r="P808" s="116">
        <v>16476</v>
      </c>
      <c r="Q808" s="116">
        <f>P808*12</f>
        <v>197712</v>
      </c>
      <c r="R808" s="147">
        <f>Q808-L808</f>
        <v>-27768</v>
      </c>
    </row>
    <row r="809" spans="1:18" s="148" customFormat="1" ht="18" customHeight="1" x14ac:dyDescent="0.25">
      <c r="A809" s="185"/>
      <c r="B809" s="140"/>
      <c r="C809" s="140"/>
      <c r="D809" s="140"/>
      <c r="E809" s="156"/>
      <c r="F809" s="140"/>
      <c r="G809" s="142"/>
      <c r="H809" s="143"/>
      <c r="I809" s="187"/>
      <c r="J809" s="151"/>
      <c r="K809" s="187"/>
      <c r="L809" s="151"/>
      <c r="M809" s="146"/>
      <c r="N809" s="115"/>
      <c r="O809" s="115"/>
      <c r="P809" s="116"/>
      <c r="Q809" s="116"/>
      <c r="R809" s="147"/>
    </row>
    <row r="810" spans="1:18" s="148" customFormat="1" ht="18" customHeight="1" x14ac:dyDescent="0.25">
      <c r="A810" s="185"/>
      <c r="B810" s="140"/>
      <c r="C810" s="140"/>
      <c r="D810" s="140"/>
      <c r="E810" s="156"/>
      <c r="F810" s="140"/>
      <c r="G810" s="142"/>
      <c r="H810" s="143"/>
      <c r="I810" s="187"/>
      <c r="J810" s="145"/>
      <c r="K810" s="187"/>
      <c r="L810" s="145"/>
      <c r="M810" s="146"/>
      <c r="N810" s="115"/>
      <c r="O810" s="115"/>
      <c r="P810" s="116"/>
      <c r="Q810" s="116"/>
      <c r="R810" s="117"/>
    </row>
    <row r="811" spans="1:18" s="148" customFormat="1" ht="18" customHeight="1" x14ac:dyDescent="0.25">
      <c r="A811" s="185">
        <v>3</v>
      </c>
      <c r="B811" s="140"/>
      <c r="C811" s="140"/>
      <c r="D811" s="140"/>
      <c r="E811" s="156" t="s">
        <v>116</v>
      </c>
      <c r="F811" s="140"/>
      <c r="G811" s="142"/>
      <c r="H811" s="143" t="s">
        <v>431</v>
      </c>
      <c r="I811" s="187" t="s">
        <v>401</v>
      </c>
      <c r="J811" s="145">
        <f>17330*12</f>
        <v>207960</v>
      </c>
      <c r="K811" s="187" t="s">
        <v>401</v>
      </c>
      <c r="L811" s="145">
        <v>218100</v>
      </c>
      <c r="M811" s="146">
        <f>L811-J811</f>
        <v>10140</v>
      </c>
      <c r="N811" s="115">
        <f>L811-J811</f>
        <v>10140</v>
      </c>
      <c r="O811" s="115">
        <f>N811-M811</f>
        <v>0</v>
      </c>
      <c r="P811" s="116">
        <v>15910</v>
      </c>
      <c r="Q811" s="116">
        <f>P811*12</f>
        <v>190920</v>
      </c>
      <c r="R811" s="147">
        <f>Q811-L811</f>
        <v>-27180</v>
      </c>
    </row>
    <row r="812" spans="1:18" s="148" customFormat="1" ht="18" customHeight="1" x14ac:dyDescent="0.25">
      <c r="A812" s="185"/>
      <c r="B812" s="140"/>
      <c r="C812" s="140"/>
      <c r="D812" s="140"/>
      <c r="E812" s="156"/>
      <c r="F812" s="140"/>
      <c r="G812" s="142"/>
      <c r="H812" s="143"/>
      <c r="I812" s="187"/>
      <c r="J812" s="145"/>
      <c r="K812" s="187" t="s">
        <v>965</v>
      </c>
      <c r="L812" s="145">
        <v>219924</v>
      </c>
      <c r="M812" s="146">
        <v>456</v>
      </c>
      <c r="N812" s="115"/>
      <c r="O812" s="115"/>
      <c r="P812" s="116">
        <v>16051</v>
      </c>
      <c r="Q812" s="116">
        <f>P812*12</f>
        <v>192612</v>
      </c>
      <c r="R812" s="147">
        <f>Q812-L812</f>
        <v>-27312</v>
      </c>
    </row>
    <row r="813" spans="1:18" s="148" customFormat="1" ht="18" customHeight="1" x14ac:dyDescent="0.25">
      <c r="A813" s="185"/>
      <c r="B813" s="140"/>
      <c r="C813" s="140"/>
      <c r="D813" s="140"/>
      <c r="E813" s="156"/>
      <c r="F813" s="140"/>
      <c r="G813" s="142"/>
      <c r="H813" s="143"/>
      <c r="I813" s="187"/>
      <c r="J813" s="145"/>
      <c r="K813" s="197"/>
      <c r="L813" s="151">
        <v>44470</v>
      </c>
      <c r="M813" s="146"/>
      <c r="N813" s="115"/>
      <c r="O813" s="115"/>
      <c r="P813" s="116"/>
      <c r="Q813" s="116"/>
      <c r="R813" s="147"/>
    </row>
    <row r="814" spans="1:18" s="148" customFormat="1" ht="18" customHeight="1" x14ac:dyDescent="0.25">
      <c r="A814" s="185"/>
      <c r="B814" s="140"/>
      <c r="C814" s="140"/>
      <c r="D814" s="140"/>
      <c r="E814" s="156"/>
      <c r="F814" s="140"/>
      <c r="G814" s="142"/>
      <c r="H814" s="143"/>
      <c r="I814" s="188"/>
      <c r="J814" s="145"/>
      <c r="K814" s="188"/>
      <c r="L814" s="145"/>
      <c r="M814" s="146"/>
      <c r="N814" s="115"/>
      <c r="O814" s="115"/>
      <c r="P814" s="116"/>
      <c r="Q814" s="116"/>
      <c r="R814" s="117"/>
    </row>
    <row r="815" spans="1:18" s="148" customFormat="1" ht="18" customHeight="1" x14ac:dyDescent="0.25">
      <c r="A815" s="185">
        <v>4</v>
      </c>
      <c r="B815" s="140"/>
      <c r="C815" s="140"/>
      <c r="D815" s="140"/>
      <c r="E815" s="156" t="s">
        <v>116</v>
      </c>
      <c r="F815" s="140"/>
      <c r="G815" s="142"/>
      <c r="H815" s="143" t="s">
        <v>986</v>
      </c>
      <c r="I815" s="187" t="s">
        <v>144</v>
      </c>
      <c r="J815" s="145">
        <f>17186*12</f>
        <v>206232</v>
      </c>
      <c r="K815" s="187" t="s">
        <v>144</v>
      </c>
      <c r="L815" s="145">
        <v>216288</v>
      </c>
      <c r="M815" s="146">
        <f>L815-J815</f>
        <v>10056</v>
      </c>
      <c r="N815" s="115">
        <f>L815-J815</f>
        <v>10056</v>
      </c>
      <c r="O815" s="115">
        <f>N815-M815</f>
        <v>0</v>
      </c>
      <c r="P815" s="116">
        <v>15910</v>
      </c>
      <c r="Q815" s="116">
        <f>P815*12</f>
        <v>190920</v>
      </c>
      <c r="R815" s="147">
        <f>Q815-L815</f>
        <v>-25368</v>
      </c>
    </row>
    <row r="816" spans="1:18" s="148" customFormat="1" ht="18" customHeight="1" x14ac:dyDescent="0.25">
      <c r="A816" s="185"/>
      <c r="B816" s="140"/>
      <c r="C816" s="140"/>
      <c r="D816" s="140"/>
      <c r="E816" s="156"/>
      <c r="F816" s="140"/>
      <c r="G816" s="142"/>
      <c r="H816" s="143"/>
      <c r="I816" s="187"/>
      <c r="J816" s="145"/>
      <c r="K816" s="187" t="s">
        <v>401</v>
      </c>
      <c r="L816" s="145">
        <v>218100</v>
      </c>
      <c r="M816" s="146">
        <v>755</v>
      </c>
      <c r="N816" s="115"/>
      <c r="O816" s="115"/>
      <c r="P816" s="116"/>
      <c r="Q816" s="116"/>
      <c r="R816" s="147"/>
    </row>
    <row r="817" spans="1:18" s="148" customFormat="1" ht="18" customHeight="1" x14ac:dyDescent="0.25">
      <c r="A817" s="185"/>
      <c r="B817" s="140"/>
      <c r="C817" s="140"/>
      <c r="D817" s="140"/>
      <c r="E817" s="156"/>
      <c r="F817" s="140"/>
      <c r="G817" s="142"/>
      <c r="H817" s="143"/>
      <c r="I817" s="187"/>
      <c r="J817" s="145"/>
      <c r="K817" s="187"/>
      <c r="L817" s="151">
        <v>44409</v>
      </c>
      <c r="M817" s="146"/>
      <c r="N817" s="115"/>
      <c r="O817" s="115"/>
      <c r="P817" s="116"/>
      <c r="Q817" s="116"/>
      <c r="R817" s="117"/>
    </row>
    <row r="818" spans="1:18" s="148" customFormat="1" ht="18" customHeight="1" x14ac:dyDescent="0.25">
      <c r="A818" s="185"/>
      <c r="B818" s="140"/>
      <c r="C818" s="140"/>
      <c r="D818" s="140"/>
      <c r="E818" s="156"/>
      <c r="F818" s="140"/>
      <c r="G818" s="142"/>
      <c r="H818" s="143"/>
      <c r="I818" s="188"/>
      <c r="J818" s="145"/>
      <c r="K818" s="188"/>
      <c r="L818" s="145"/>
      <c r="M818" s="146"/>
      <c r="N818" s="115"/>
      <c r="O818" s="115"/>
      <c r="P818" s="116"/>
      <c r="Q818" s="116"/>
      <c r="R818" s="117"/>
    </row>
    <row r="819" spans="1:18" s="148" customFormat="1" ht="18" customHeight="1" x14ac:dyDescent="0.25">
      <c r="A819" s="185">
        <v>5</v>
      </c>
      <c r="B819" s="140"/>
      <c r="C819" s="140"/>
      <c r="D819" s="140"/>
      <c r="E819" s="156" t="s">
        <v>116</v>
      </c>
      <c r="F819" s="140"/>
      <c r="G819" s="142"/>
      <c r="H819" s="143" t="s">
        <v>432</v>
      </c>
      <c r="I819" s="187" t="s">
        <v>401</v>
      </c>
      <c r="J819" s="145">
        <f>17330*12</f>
        <v>207960</v>
      </c>
      <c r="K819" s="187" t="s">
        <v>401</v>
      </c>
      <c r="L819" s="145">
        <v>218100</v>
      </c>
      <c r="M819" s="146">
        <f>L819-J819</f>
        <v>10140</v>
      </c>
      <c r="N819" s="115">
        <f>L819-J819</f>
        <v>10140</v>
      </c>
      <c r="O819" s="115">
        <f>N819-M819</f>
        <v>0</v>
      </c>
      <c r="P819" s="116">
        <v>15910</v>
      </c>
      <c r="Q819" s="116">
        <f>P819*12</f>
        <v>190920</v>
      </c>
      <c r="R819" s="147">
        <f>Q819-L819</f>
        <v>-27180</v>
      </c>
    </row>
    <row r="820" spans="1:18" s="148" customFormat="1" ht="18" customHeight="1" x14ac:dyDescent="0.25">
      <c r="A820" s="185"/>
      <c r="B820" s="140"/>
      <c r="C820" s="140"/>
      <c r="D820" s="140"/>
      <c r="E820" s="156"/>
      <c r="F820" s="140"/>
      <c r="G820" s="142"/>
      <c r="H820" s="143"/>
      <c r="I820" s="187"/>
      <c r="J820" s="145"/>
      <c r="K820" s="187" t="s">
        <v>965</v>
      </c>
      <c r="L820" s="145">
        <v>219924</v>
      </c>
      <c r="M820" s="146">
        <v>456</v>
      </c>
      <c r="N820" s="115"/>
      <c r="O820" s="115"/>
      <c r="P820" s="116"/>
      <c r="Q820" s="116"/>
      <c r="R820" s="147"/>
    </row>
    <row r="821" spans="1:18" s="148" customFormat="1" ht="18" customHeight="1" x14ac:dyDescent="0.25">
      <c r="A821" s="185"/>
      <c r="B821" s="140"/>
      <c r="C821" s="140"/>
      <c r="D821" s="140"/>
      <c r="E821" s="156"/>
      <c r="F821" s="140"/>
      <c r="G821" s="142"/>
      <c r="H821" s="143"/>
      <c r="I821" s="187"/>
      <c r="J821" s="145"/>
      <c r="K821" s="187"/>
      <c r="L821" s="151">
        <v>44470</v>
      </c>
      <c r="M821" s="146"/>
      <c r="N821" s="115"/>
      <c r="O821" s="115"/>
      <c r="P821" s="116">
        <v>16051</v>
      </c>
      <c r="Q821" s="116">
        <f>P821*12</f>
        <v>192612</v>
      </c>
      <c r="R821" s="147">
        <f>Q821-L821</f>
        <v>148142</v>
      </c>
    </row>
    <row r="822" spans="1:18" s="148" customFormat="1" ht="18" customHeight="1" x14ac:dyDescent="0.25">
      <c r="A822" s="185"/>
      <c r="B822" s="140"/>
      <c r="C822" s="140"/>
      <c r="D822" s="140"/>
      <c r="E822" s="156"/>
      <c r="F822" s="140"/>
      <c r="G822" s="142"/>
      <c r="H822" s="143"/>
      <c r="I822" s="188"/>
      <c r="J822" s="145"/>
      <c r="K822" s="188"/>
      <c r="L822" s="145"/>
      <c r="M822" s="146"/>
      <c r="N822" s="115"/>
      <c r="O822" s="115"/>
      <c r="P822" s="116"/>
      <c r="Q822" s="116"/>
      <c r="R822" s="117"/>
    </row>
    <row r="823" spans="1:18" s="148" customFormat="1" ht="18" customHeight="1" x14ac:dyDescent="0.25">
      <c r="A823" s="185">
        <v>6</v>
      </c>
      <c r="B823" s="140"/>
      <c r="C823" s="140"/>
      <c r="D823" s="140"/>
      <c r="E823" s="156" t="s">
        <v>116</v>
      </c>
      <c r="F823" s="140"/>
      <c r="G823" s="142"/>
      <c r="H823" s="143" t="s">
        <v>1559</v>
      </c>
      <c r="I823" s="187" t="s">
        <v>144</v>
      </c>
      <c r="J823" s="145">
        <f>17186*12</f>
        <v>206232</v>
      </c>
      <c r="K823" s="187" t="s">
        <v>144</v>
      </c>
      <c r="L823" s="145">
        <v>216288</v>
      </c>
      <c r="M823" s="146">
        <f>L823-J823</f>
        <v>10056</v>
      </c>
      <c r="N823" s="115">
        <f>L823-J823</f>
        <v>10056</v>
      </c>
      <c r="O823" s="115">
        <f>N823-M823</f>
        <v>0</v>
      </c>
      <c r="P823" s="116">
        <v>16913</v>
      </c>
      <c r="Q823" s="116">
        <f>P823*12</f>
        <v>202956</v>
      </c>
      <c r="R823" s="147">
        <f>Q823-L823</f>
        <v>-13332</v>
      </c>
    </row>
    <row r="824" spans="1:18" s="148" customFormat="1" ht="18" customHeight="1" x14ac:dyDescent="0.25">
      <c r="A824" s="185"/>
      <c r="B824" s="140"/>
      <c r="C824" s="140"/>
      <c r="D824" s="140"/>
      <c r="E824" s="156"/>
      <c r="F824" s="140"/>
      <c r="G824" s="142"/>
      <c r="H824" s="143"/>
      <c r="I824" s="187"/>
      <c r="J824" s="145"/>
      <c r="K824" s="187"/>
      <c r="L824" s="145"/>
      <c r="M824" s="146"/>
      <c r="N824" s="115"/>
      <c r="O824" s="115"/>
      <c r="P824" s="116"/>
      <c r="Q824" s="116"/>
      <c r="R824" s="117"/>
    </row>
    <row r="825" spans="1:18" s="148" customFormat="1" ht="18" customHeight="1" x14ac:dyDescent="0.25">
      <c r="A825" s="185"/>
      <c r="B825" s="140"/>
      <c r="C825" s="140"/>
      <c r="D825" s="140"/>
      <c r="E825" s="156"/>
      <c r="F825" s="140"/>
      <c r="G825" s="142"/>
      <c r="H825" s="143"/>
      <c r="I825" s="188"/>
      <c r="J825" s="145"/>
      <c r="K825" s="188"/>
      <c r="L825" s="145"/>
      <c r="M825" s="146"/>
      <c r="N825" s="115"/>
      <c r="O825" s="115"/>
      <c r="P825" s="116"/>
      <c r="Q825" s="116"/>
      <c r="R825" s="117"/>
    </row>
    <row r="826" spans="1:18" s="148" customFormat="1" ht="18" customHeight="1" x14ac:dyDescent="0.25">
      <c r="A826" s="185">
        <v>7</v>
      </c>
      <c r="B826" s="140"/>
      <c r="C826" s="140"/>
      <c r="D826" s="140"/>
      <c r="E826" s="156" t="s">
        <v>116</v>
      </c>
      <c r="F826" s="140"/>
      <c r="G826" s="142"/>
      <c r="H826" s="143" t="s">
        <v>255</v>
      </c>
      <c r="I826" s="187" t="s">
        <v>965</v>
      </c>
      <c r="J826" s="145">
        <f>17474*12</f>
        <v>209688</v>
      </c>
      <c r="K826" s="187" t="s">
        <v>965</v>
      </c>
      <c r="L826" s="145">
        <v>219924</v>
      </c>
      <c r="M826" s="146">
        <f>L826-J826</f>
        <v>10236</v>
      </c>
      <c r="N826" s="115">
        <f>L826-J826</f>
        <v>10236</v>
      </c>
      <c r="O826" s="115">
        <f>N826-M826</f>
        <v>0</v>
      </c>
      <c r="P826" s="116">
        <v>16051</v>
      </c>
      <c r="Q826" s="116">
        <f>P826*12</f>
        <v>192612</v>
      </c>
      <c r="R826" s="147">
        <f>Q826-L826</f>
        <v>-27312</v>
      </c>
    </row>
    <row r="827" spans="1:18" s="148" customFormat="1" ht="18" customHeight="1" x14ac:dyDescent="0.25">
      <c r="A827" s="185"/>
      <c r="B827" s="140"/>
      <c r="C827" s="140"/>
      <c r="D827" s="140"/>
      <c r="E827" s="156"/>
      <c r="F827" s="140"/>
      <c r="G827" s="142"/>
      <c r="H827" s="143"/>
      <c r="I827" s="187"/>
      <c r="J827" s="151"/>
      <c r="K827" s="187"/>
      <c r="L827" s="151"/>
      <c r="M827" s="146"/>
      <c r="N827" s="115"/>
      <c r="O827" s="115"/>
      <c r="P827" s="116"/>
      <c r="Q827" s="116"/>
      <c r="R827" s="147"/>
    </row>
    <row r="828" spans="1:18" s="148" customFormat="1" ht="18" customHeight="1" x14ac:dyDescent="0.25">
      <c r="A828" s="185"/>
      <c r="B828" s="140"/>
      <c r="C828" s="140"/>
      <c r="D828" s="140"/>
      <c r="E828" s="156"/>
      <c r="F828" s="140"/>
      <c r="G828" s="142"/>
      <c r="H828" s="143"/>
      <c r="I828" s="188"/>
      <c r="J828" s="151"/>
      <c r="K828" s="188"/>
      <c r="L828" s="151"/>
      <c r="M828" s="146"/>
      <c r="N828" s="115"/>
      <c r="O828" s="115"/>
      <c r="P828" s="116"/>
      <c r="Q828" s="116"/>
      <c r="R828" s="117"/>
    </row>
    <row r="829" spans="1:18" s="148" customFormat="1" ht="18" customHeight="1" x14ac:dyDescent="0.25">
      <c r="A829" s="185">
        <v>8</v>
      </c>
      <c r="B829" s="140"/>
      <c r="C829" s="140"/>
      <c r="D829" s="140"/>
      <c r="E829" s="156" t="s">
        <v>116</v>
      </c>
      <c r="F829" s="140"/>
      <c r="G829" s="142"/>
      <c r="H829" s="143" t="s">
        <v>119</v>
      </c>
      <c r="I829" s="187" t="s">
        <v>1499</v>
      </c>
      <c r="J829" s="145">
        <f>17917*12</f>
        <v>215004</v>
      </c>
      <c r="K829" s="187" t="s">
        <v>1499</v>
      </c>
      <c r="L829" s="145">
        <v>225480</v>
      </c>
      <c r="M829" s="146">
        <f>L829-J829</f>
        <v>10476</v>
      </c>
      <c r="N829" s="115">
        <f>L829-J829</f>
        <v>10476</v>
      </c>
      <c r="O829" s="115">
        <f>N829-M829</f>
        <v>0</v>
      </c>
      <c r="P829" s="116">
        <v>16476</v>
      </c>
      <c r="Q829" s="116">
        <f>P829*12</f>
        <v>197712</v>
      </c>
      <c r="R829" s="147">
        <f>Q829-L829</f>
        <v>-27768</v>
      </c>
    </row>
    <row r="830" spans="1:18" s="148" customFormat="1" ht="18" customHeight="1" x14ac:dyDescent="0.25">
      <c r="A830" s="185"/>
      <c r="B830" s="140"/>
      <c r="C830" s="140"/>
      <c r="D830" s="140"/>
      <c r="E830" s="156"/>
      <c r="F830" s="140"/>
      <c r="G830" s="142"/>
      <c r="H830" s="143"/>
      <c r="I830" s="187"/>
      <c r="J830" s="151"/>
      <c r="K830" s="187"/>
      <c r="L830" s="151"/>
      <c r="M830" s="146"/>
      <c r="N830" s="115"/>
      <c r="O830" s="115"/>
      <c r="P830" s="116"/>
      <c r="Q830" s="116"/>
      <c r="R830" s="147"/>
    </row>
    <row r="831" spans="1:18" s="148" customFormat="1" ht="18" customHeight="1" x14ac:dyDescent="0.25">
      <c r="A831" s="185"/>
      <c r="B831" s="140"/>
      <c r="C831" s="140"/>
      <c r="D831" s="140"/>
      <c r="E831" s="156"/>
      <c r="F831" s="140"/>
      <c r="G831" s="142"/>
      <c r="H831" s="143"/>
      <c r="I831" s="187"/>
      <c r="J831" s="145"/>
      <c r="K831" s="187"/>
      <c r="L831" s="145"/>
      <c r="M831" s="146"/>
      <c r="N831" s="115"/>
      <c r="O831" s="115"/>
      <c r="P831" s="116"/>
      <c r="Q831" s="116"/>
      <c r="R831" s="117"/>
    </row>
    <row r="832" spans="1:18" s="148" customFormat="1" ht="18" customHeight="1" x14ac:dyDescent="0.25">
      <c r="A832" s="185">
        <v>9</v>
      </c>
      <c r="B832" s="140"/>
      <c r="C832" s="140"/>
      <c r="D832" s="140"/>
      <c r="E832" s="139" t="s">
        <v>992</v>
      </c>
      <c r="F832" s="140"/>
      <c r="G832" s="142"/>
      <c r="H832" s="143" t="s">
        <v>118</v>
      </c>
      <c r="I832" s="208" t="s">
        <v>54</v>
      </c>
      <c r="J832" s="145">
        <f>27245*12</f>
        <v>326940</v>
      </c>
      <c r="K832" s="208" t="s">
        <v>54</v>
      </c>
      <c r="L832" s="145">
        <v>342468</v>
      </c>
      <c r="M832" s="146">
        <f>L832-J832</f>
        <v>15528</v>
      </c>
      <c r="N832" s="115"/>
      <c r="O832" s="115"/>
      <c r="P832" s="116"/>
      <c r="Q832" s="116"/>
      <c r="R832" s="117"/>
    </row>
    <row r="833" spans="1:18" s="148" customFormat="1" ht="18" customHeight="1" x14ac:dyDescent="0.25">
      <c r="A833" s="185"/>
      <c r="B833" s="140"/>
      <c r="C833" s="140"/>
      <c r="D833" s="140"/>
      <c r="E833" s="139"/>
      <c r="F833" s="140"/>
      <c r="G833" s="142"/>
      <c r="H833" s="143"/>
      <c r="I833" s="208"/>
      <c r="J833" s="145"/>
      <c r="K833" s="208"/>
      <c r="L833" s="145"/>
      <c r="M833" s="146"/>
      <c r="N833" s="115"/>
      <c r="O833" s="115"/>
      <c r="P833" s="116"/>
      <c r="Q833" s="116"/>
      <c r="R833" s="117"/>
    </row>
    <row r="834" spans="1:18" s="148" customFormat="1" ht="18" customHeight="1" x14ac:dyDescent="0.25">
      <c r="A834" s="185"/>
      <c r="B834" s="140"/>
      <c r="C834" s="140"/>
      <c r="D834" s="140"/>
      <c r="E834" s="139"/>
      <c r="F834" s="140"/>
      <c r="G834" s="142"/>
      <c r="H834" s="143"/>
      <c r="I834" s="144"/>
      <c r="J834" s="145"/>
      <c r="K834" s="144"/>
      <c r="L834" s="145"/>
      <c r="M834" s="145"/>
      <c r="N834" s="115"/>
      <c r="O834" s="115"/>
      <c r="P834" s="116"/>
      <c r="Q834" s="116"/>
      <c r="R834" s="117"/>
    </row>
    <row r="835" spans="1:18" s="170" customFormat="1" ht="18" customHeight="1" thickBot="1" x14ac:dyDescent="0.3">
      <c r="A835" s="163"/>
      <c r="B835" s="160"/>
      <c r="C835" s="160"/>
      <c r="D835" s="160"/>
      <c r="E835" s="189"/>
      <c r="F835" s="160"/>
      <c r="G835" s="162"/>
      <c r="H835" s="163" t="s">
        <v>15</v>
      </c>
      <c r="I835" s="190"/>
      <c r="J835" s="166">
        <f>SUM(J803:J834)</f>
        <v>2691336</v>
      </c>
      <c r="K835" s="190"/>
      <c r="L835" s="166"/>
      <c r="M835" s="166">
        <f>SUM(M803:M834)</f>
        <v>120016</v>
      </c>
      <c r="N835" s="167"/>
      <c r="O835" s="167"/>
      <c r="P835" s="168"/>
      <c r="Q835" s="168"/>
      <c r="R835" s="169"/>
    </row>
    <row r="836" spans="1:18" s="148" customFormat="1" ht="18" customHeight="1" thickTop="1" x14ac:dyDescent="0.25">
      <c r="A836" s="140"/>
      <c r="B836" s="140"/>
      <c r="C836" s="140"/>
      <c r="D836" s="140"/>
      <c r="E836" s="140"/>
      <c r="F836" s="140"/>
      <c r="G836" s="157"/>
      <c r="H836" s="157"/>
      <c r="I836" s="140"/>
      <c r="J836" s="173"/>
      <c r="K836" s="154"/>
      <c r="L836" s="173"/>
      <c r="M836" s="173"/>
      <c r="N836" s="115"/>
      <c r="O836" s="115"/>
      <c r="P836" s="116"/>
      <c r="Q836" s="116"/>
      <c r="R836" s="117"/>
    </row>
    <row r="837" spans="1:18" s="148" customFormat="1" ht="18" customHeight="1" x14ac:dyDescent="0.25">
      <c r="A837" s="140"/>
      <c r="B837" s="140"/>
      <c r="C837" s="140"/>
      <c r="D837" s="140"/>
      <c r="E837" s="140"/>
      <c r="F837" s="140"/>
      <c r="G837" s="157"/>
      <c r="H837" s="157"/>
      <c r="I837" s="140"/>
      <c r="J837" s="173"/>
      <c r="K837" s="154"/>
      <c r="L837" s="173"/>
      <c r="M837" s="173"/>
      <c r="N837" s="115"/>
      <c r="O837" s="115"/>
      <c r="P837" s="116"/>
      <c r="Q837" s="116"/>
      <c r="R837" s="117"/>
    </row>
    <row r="838" spans="1:18" s="148" customFormat="1" ht="18" customHeight="1" x14ac:dyDescent="0.25">
      <c r="A838" s="140"/>
      <c r="B838" s="140"/>
      <c r="C838" s="140"/>
      <c r="D838" s="140"/>
      <c r="E838" s="140"/>
      <c r="F838" s="140"/>
      <c r="G838" s="157"/>
      <c r="H838" s="157"/>
      <c r="I838" s="140"/>
      <c r="J838" s="172"/>
      <c r="K838" s="154"/>
      <c r="L838" s="172"/>
      <c r="M838" s="172"/>
      <c r="N838" s="115"/>
      <c r="O838" s="115"/>
      <c r="P838" s="116"/>
      <c r="Q838" s="116"/>
      <c r="R838" s="117"/>
    </row>
    <row r="839" spans="1:18" s="148" customFormat="1" ht="18" customHeight="1" x14ac:dyDescent="0.25">
      <c r="A839" s="175" t="s">
        <v>636</v>
      </c>
      <c r="B839" s="175"/>
      <c r="C839" s="932"/>
      <c r="D839" s="932"/>
      <c r="E839" s="176"/>
      <c r="F839" s="176"/>
      <c r="G839" s="176"/>
      <c r="H839" s="175" t="s">
        <v>637</v>
      </c>
      <c r="I839" s="176"/>
      <c r="K839" s="175" t="s">
        <v>264</v>
      </c>
      <c r="L839" s="177"/>
      <c r="M839" s="177"/>
      <c r="N839" s="115"/>
      <c r="O839" s="115"/>
      <c r="P839" s="116"/>
      <c r="Q839" s="116"/>
      <c r="R839" s="117"/>
    </row>
    <row r="840" spans="1:18" s="148" customFormat="1" ht="18" customHeight="1" x14ac:dyDescent="0.25">
      <c r="A840" s="176"/>
      <c r="B840" s="176"/>
      <c r="C840" s="933"/>
      <c r="D840" s="933"/>
      <c r="E840" s="176"/>
      <c r="F840" s="176"/>
      <c r="G840" s="176"/>
      <c r="H840" s="176"/>
      <c r="I840" s="176"/>
      <c r="J840" s="176"/>
      <c r="K840" s="178"/>
      <c r="L840" s="177"/>
      <c r="M840" s="177"/>
      <c r="N840" s="115"/>
      <c r="O840" s="115"/>
      <c r="P840" s="116"/>
      <c r="Q840" s="116"/>
      <c r="R840" s="117"/>
    </row>
    <row r="841" spans="1:18" s="148" customFormat="1" ht="18" customHeight="1" x14ac:dyDescent="0.25">
      <c r="A841" s="1131" t="s">
        <v>66</v>
      </c>
      <c r="B841" s="1131"/>
      <c r="C841" s="1131"/>
      <c r="D841" s="1131"/>
      <c r="E841" s="1131"/>
      <c r="F841" s="1131"/>
      <c r="G841" s="176"/>
      <c r="H841" s="1131" t="s">
        <v>17</v>
      </c>
      <c r="I841" s="1131"/>
      <c r="J841" s="176"/>
      <c r="K841" s="1131" t="s">
        <v>1493</v>
      </c>
      <c r="L841" s="1131"/>
      <c r="M841" s="1131"/>
      <c r="N841" s="115"/>
      <c r="O841" s="115"/>
      <c r="P841" s="116"/>
      <c r="Q841" s="116"/>
      <c r="R841" s="117"/>
    </row>
    <row r="842" spans="1:18" s="148" customFormat="1" ht="18" customHeight="1" x14ac:dyDescent="0.25">
      <c r="A842" s="1132" t="s">
        <v>437</v>
      </c>
      <c r="B842" s="1132"/>
      <c r="C842" s="1132"/>
      <c r="D842" s="1132"/>
      <c r="E842" s="1132"/>
      <c r="F842" s="1132"/>
      <c r="G842" s="179"/>
      <c r="H842" s="1132" t="s">
        <v>18</v>
      </c>
      <c r="I842" s="1132"/>
      <c r="J842" s="932"/>
      <c r="K842" s="1132" t="s">
        <v>14</v>
      </c>
      <c r="L842" s="1132"/>
      <c r="M842" s="1132"/>
      <c r="N842" s="115"/>
      <c r="O842" s="115"/>
      <c r="P842" s="116"/>
      <c r="Q842" s="116"/>
      <c r="R842" s="117"/>
    </row>
    <row r="843" spans="1:18" s="148" customFormat="1" ht="18" customHeight="1" x14ac:dyDescent="0.25">
      <c r="A843" s="933"/>
      <c r="B843" s="933"/>
      <c r="C843" s="933"/>
      <c r="D843" s="933"/>
      <c r="E843" s="933"/>
      <c r="F843" s="933"/>
      <c r="G843" s="179"/>
      <c r="H843" s="933"/>
      <c r="I843" s="933"/>
      <c r="J843" s="932"/>
      <c r="K843" s="933"/>
      <c r="L843" s="933"/>
      <c r="M843" s="933"/>
      <c r="N843" s="115"/>
      <c r="O843" s="115"/>
      <c r="P843" s="116"/>
      <c r="Q843" s="116"/>
      <c r="R843" s="117"/>
    </row>
    <row r="844" spans="1:18" s="148" customFormat="1" ht="18" customHeight="1" x14ac:dyDescent="0.25">
      <c r="A844" s="933"/>
      <c r="B844" s="933"/>
      <c r="C844" s="933"/>
      <c r="D844" s="933"/>
      <c r="E844" s="933"/>
      <c r="F844" s="933"/>
      <c r="G844" s="179"/>
      <c r="H844" s="933"/>
      <c r="I844" s="933"/>
      <c r="J844" s="932"/>
      <c r="K844" s="933"/>
      <c r="L844" s="933"/>
      <c r="M844" s="933"/>
      <c r="N844" s="115"/>
      <c r="O844" s="115"/>
      <c r="P844" s="116"/>
      <c r="Q844" s="116"/>
      <c r="R844" s="117"/>
    </row>
    <row r="845" spans="1:18" s="148" customFormat="1" ht="18" customHeight="1" x14ac:dyDescent="0.25">
      <c r="A845" s="933"/>
      <c r="B845" s="933"/>
      <c r="C845" s="933"/>
      <c r="D845" s="933"/>
      <c r="E845" s="933"/>
      <c r="F845" s="933"/>
      <c r="G845" s="179"/>
      <c r="H845" s="933"/>
      <c r="I845" s="933"/>
      <c r="J845" s="932"/>
      <c r="K845" s="933"/>
      <c r="L845" s="933"/>
      <c r="M845" s="933"/>
      <c r="N845" s="115"/>
      <c r="O845" s="115"/>
      <c r="P845" s="116"/>
      <c r="Q845" s="116"/>
      <c r="R845" s="117"/>
    </row>
    <row r="846" spans="1:18" s="148" customFormat="1" ht="18" customHeight="1" x14ac:dyDescent="0.25">
      <c r="A846" s="933"/>
      <c r="B846" s="933"/>
      <c r="C846" s="933"/>
      <c r="D846" s="933"/>
      <c r="E846" s="933"/>
      <c r="F846" s="933"/>
      <c r="G846" s="179"/>
      <c r="H846" s="933"/>
      <c r="I846" s="933"/>
      <c r="J846" s="932"/>
      <c r="K846" s="933"/>
      <c r="L846" s="933"/>
      <c r="M846" s="933"/>
      <c r="N846" s="115"/>
      <c r="O846" s="115"/>
      <c r="P846" s="116"/>
      <c r="Q846" s="116"/>
      <c r="R846" s="117"/>
    </row>
    <row r="847" spans="1:18" s="148" customFormat="1" ht="18" customHeight="1" x14ac:dyDescent="0.25">
      <c r="A847" s="933"/>
      <c r="B847" s="933"/>
      <c r="C847" s="933"/>
      <c r="D847" s="933"/>
      <c r="E847" s="933"/>
      <c r="F847" s="933"/>
      <c r="G847" s="179"/>
      <c r="H847" s="933"/>
      <c r="I847" s="933"/>
      <c r="J847" s="932"/>
      <c r="K847" s="933"/>
      <c r="L847" s="933"/>
      <c r="M847" s="933"/>
      <c r="N847" s="115"/>
      <c r="O847" s="115"/>
      <c r="P847" s="116"/>
      <c r="Q847" s="116"/>
      <c r="R847" s="117"/>
    </row>
    <row r="848" spans="1:18" s="148" customFormat="1" ht="18" customHeight="1" x14ac:dyDescent="0.25">
      <c r="A848" s="933"/>
      <c r="B848" s="933"/>
      <c r="C848" s="933"/>
      <c r="D848" s="933"/>
      <c r="E848" s="933"/>
      <c r="F848" s="933"/>
      <c r="G848" s="179"/>
      <c r="H848" s="933"/>
      <c r="I848" s="933"/>
      <c r="J848" s="932"/>
      <c r="K848" s="933"/>
      <c r="L848" s="933"/>
      <c r="M848" s="933"/>
      <c r="N848" s="115"/>
      <c r="O848" s="115"/>
      <c r="P848" s="116"/>
      <c r="Q848" s="116"/>
      <c r="R848" s="117"/>
    </row>
    <row r="849" spans="1:18" s="148" customFormat="1" ht="18" customHeight="1" x14ac:dyDescent="0.25">
      <c r="A849" s="933"/>
      <c r="B849" s="933"/>
      <c r="C849" s="933"/>
      <c r="D849" s="933"/>
      <c r="E849" s="933"/>
      <c r="F849" s="933"/>
      <c r="G849" s="179"/>
      <c r="H849" s="933"/>
      <c r="I849" s="933"/>
      <c r="J849" s="932"/>
      <c r="K849" s="933"/>
      <c r="L849" s="933"/>
      <c r="M849" s="933"/>
      <c r="N849" s="115"/>
      <c r="O849" s="115"/>
      <c r="P849" s="116"/>
      <c r="Q849" s="116"/>
      <c r="R849" s="117"/>
    </row>
    <row r="850" spans="1:18" ht="18" customHeight="1" x14ac:dyDescent="0.2">
      <c r="A850" s="111"/>
      <c r="B850" s="111"/>
      <c r="C850" s="930"/>
      <c r="D850" s="930"/>
      <c r="E850" s="1121"/>
      <c r="F850" s="1121"/>
      <c r="G850" s="1121"/>
      <c r="H850" s="930"/>
      <c r="I850" s="930"/>
      <c r="J850" s="930"/>
      <c r="K850" s="1121"/>
      <c r="L850" s="1121"/>
      <c r="M850" s="1121"/>
    </row>
    <row r="851" spans="1:18" ht="18" customHeight="1" x14ac:dyDescent="0.2">
      <c r="A851" s="111"/>
      <c r="B851" s="111"/>
      <c r="C851" s="930"/>
      <c r="D851" s="930"/>
      <c r="E851" s="111"/>
      <c r="F851" s="111"/>
      <c r="G851" s="111"/>
      <c r="H851" s="111"/>
      <c r="I851" s="111"/>
      <c r="J851" s="111"/>
      <c r="K851" s="112"/>
      <c r="M851" s="113"/>
    </row>
    <row r="852" spans="1:18" ht="18" customHeight="1" x14ac:dyDescent="0.2">
      <c r="A852" s="111"/>
      <c r="B852" s="111"/>
      <c r="C852" s="930"/>
      <c r="D852" s="930"/>
      <c r="E852" s="111"/>
      <c r="F852" s="111"/>
      <c r="G852" s="111"/>
      <c r="H852" s="111"/>
      <c r="I852" s="111"/>
      <c r="J852" s="111"/>
      <c r="K852" s="112"/>
      <c r="M852" s="113"/>
    </row>
    <row r="853" spans="1:18" ht="20.100000000000001" customHeight="1" x14ac:dyDescent="0.35">
      <c r="A853" s="1142" t="s">
        <v>1011</v>
      </c>
      <c r="B853" s="1142"/>
      <c r="C853" s="1142"/>
      <c r="D853" s="1142"/>
      <c r="E853" s="1142"/>
      <c r="F853" s="1142"/>
      <c r="G853" s="1142"/>
      <c r="H853" s="1142"/>
      <c r="I853" s="1142"/>
      <c r="J853" s="1142"/>
      <c r="K853" s="1142"/>
      <c r="L853" s="1142"/>
      <c r="M853" s="1142"/>
    </row>
    <row r="854" spans="1:18" ht="18" customHeight="1" x14ac:dyDescent="0.2">
      <c r="A854" s="110"/>
      <c r="B854" s="110"/>
      <c r="C854" s="937"/>
      <c r="D854" s="937"/>
      <c r="E854" s="111"/>
      <c r="F854" s="111"/>
      <c r="G854" s="111"/>
      <c r="H854" s="111"/>
      <c r="I854" s="111"/>
      <c r="J854" s="111"/>
      <c r="K854" s="112"/>
      <c r="M854" s="114"/>
    </row>
    <row r="855" spans="1:18" ht="18" customHeight="1" x14ac:dyDescent="0.3">
      <c r="A855" s="1119" t="s">
        <v>1549</v>
      </c>
      <c r="B855" s="1119"/>
      <c r="C855" s="1119"/>
      <c r="D855" s="1119"/>
      <c r="E855" s="1119"/>
      <c r="F855" s="1119"/>
      <c r="G855" s="1119"/>
      <c r="H855" s="1119"/>
      <c r="I855" s="1119"/>
      <c r="J855" s="1119"/>
      <c r="K855" s="1119"/>
      <c r="L855" s="1119"/>
      <c r="M855" s="1119"/>
    </row>
    <row r="856" spans="1:18" ht="18" customHeight="1" x14ac:dyDescent="0.3">
      <c r="A856" s="1120" t="s">
        <v>364</v>
      </c>
      <c r="B856" s="1120"/>
      <c r="C856" s="1120"/>
      <c r="D856" s="1120"/>
      <c r="E856" s="1120"/>
      <c r="F856" s="1120"/>
      <c r="G856" s="1120"/>
      <c r="H856" s="1120"/>
      <c r="I856" s="1120"/>
      <c r="J856" s="1120"/>
      <c r="K856" s="1120"/>
      <c r="L856" s="1120"/>
      <c r="M856" s="1120"/>
    </row>
    <row r="857" spans="1:18" ht="18" customHeight="1" x14ac:dyDescent="0.2">
      <c r="A857" s="1121"/>
      <c r="B857" s="1121"/>
      <c r="C857" s="1121"/>
      <c r="D857" s="1121"/>
      <c r="E857" s="1121"/>
      <c r="F857" s="1121"/>
      <c r="G857" s="1121"/>
      <c r="H857" s="1121"/>
      <c r="I857" s="1121"/>
      <c r="J857" s="1121"/>
      <c r="K857" s="1121"/>
      <c r="L857" s="1121"/>
      <c r="M857" s="1121"/>
    </row>
    <row r="858" spans="1:18" ht="18" customHeight="1" x14ac:dyDescent="0.2">
      <c r="A858" s="930"/>
      <c r="B858" s="930"/>
      <c r="C858" s="930"/>
      <c r="D858" s="930"/>
      <c r="E858" s="930"/>
      <c r="F858" s="930"/>
      <c r="G858" s="930"/>
      <c r="H858" s="930"/>
      <c r="I858" s="930"/>
      <c r="J858" s="930"/>
      <c r="K858" s="930"/>
      <c r="L858" s="930"/>
      <c r="M858" s="930"/>
    </row>
    <row r="859" spans="1:18" ht="18" customHeight="1" x14ac:dyDescent="0.2">
      <c r="A859" s="111" t="s">
        <v>457</v>
      </c>
      <c r="B859" s="111"/>
      <c r="C859" s="111" t="s">
        <v>455</v>
      </c>
      <c r="D859" s="111" t="s">
        <v>482</v>
      </c>
      <c r="E859" s="111"/>
      <c r="F859" s="111"/>
      <c r="G859" s="111"/>
      <c r="H859" s="111"/>
      <c r="I859" s="930"/>
      <c r="J859" s="930"/>
      <c r="K859" s="930"/>
      <c r="L859" s="930"/>
      <c r="M859" s="930"/>
    </row>
    <row r="860" spans="1:18" ht="18" customHeight="1" x14ac:dyDescent="0.25">
      <c r="A860" s="111" t="s">
        <v>480</v>
      </c>
      <c r="B860" s="111"/>
      <c r="C860" s="111" t="s">
        <v>455</v>
      </c>
      <c r="D860" s="111" t="s">
        <v>481</v>
      </c>
      <c r="E860" s="111"/>
      <c r="F860" s="111"/>
      <c r="G860" s="111"/>
      <c r="H860" s="111"/>
      <c r="I860" s="930"/>
      <c r="J860" s="930"/>
      <c r="K860" s="930"/>
      <c r="L860" s="930"/>
      <c r="M860" s="930"/>
      <c r="N860" s="182"/>
    </row>
    <row r="861" spans="1:18" ht="18" customHeight="1" thickBot="1" x14ac:dyDescent="0.3">
      <c r="A861" s="111" t="s">
        <v>462</v>
      </c>
      <c r="B861" s="111"/>
      <c r="C861" s="111" t="s">
        <v>455</v>
      </c>
      <c r="D861" s="111" t="s">
        <v>692</v>
      </c>
      <c r="E861" s="111"/>
      <c r="F861" s="111"/>
      <c r="G861" s="111"/>
      <c r="H861" s="111"/>
      <c r="I861" s="930"/>
      <c r="J861" s="930"/>
      <c r="K861" s="930"/>
      <c r="L861" s="930"/>
      <c r="M861" s="930"/>
      <c r="N861" s="182"/>
    </row>
    <row r="862" spans="1:18" ht="18" customHeight="1" x14ac:dyDescent="0.25">
      <c r="A862" s="1122" t="s">
        <v>642</v>
      </c>
      <c r="B862" s="1123"/>
      <c r="C862" s="1123"/>
      <c r="D862" s="1123"/>
      <c r="E862" s="1124"/>
      <c r="F862" s="1123"/>
      <c r="G862" s="1125"/>
      <c r="H862" s="121"/>
      <c r="I862" s="1126" t="s">
        <v>646</v>
      </c>
      <c r="J862" s="1127"/>
      <c r="K862" s="1126" t="s">
        <v>646</v>
      </c>
      <c r="L862" s="1127"/>
      <c r="M862" s="122"/>
      <c r="N862" s="182"/>
    </row>
    <row r="863" spans="1:18" ht="18" customHeight="1" x14ac:dyDescent="0.2">
      <c r="A863" s="123" t="s">
        <v>643</v>
      </c>
      <c r="B863" s="1133" t="s">
        <v>644</v>
      </c>
      <c r="C863" s="1134"/>
      <c r="D863" s="1135"/>
      <c r="E863" s="1136" t="s">
        <v>45</v>
      </c>
      <c r="F863" s="1137"/>
      <c r="G863" s="1138"/>
      <c r="H863" s="934" t="s">
        <v>46</v>
      </c>
      <c r="I863" s="1136" t="s">
        <v>1492</v>
      </c>
      <c r="J863" s="1138"/>
      <c r="K863" s="1137" t="s">
        <v>1550</v>
      </c>
      <c r="L863" s="1138"/>
      <c r="M863" s="124" t="s">
        <v>47</v>
      </c>
    </row>
    <row r="864" spans="1:18" ht="18" customHeight="1" x14ac:dyDescent="0.2">
      <c r="A864" s="125"/>
      <c r="B864" s="934"/>
      <c r="C864" s="935"/>
      <c r="D864" s="935"/>
      <c r="E864" s="934"/>
      <c r="F864" s="935"/>
      <c r="G864" s="936"/>
      <c r="H864" s="934" t="s">
        <v>48</v>
      </c>
      <c r="I864" s="1139" t="s">
        <v>1551</v>
      </c>
      <c r="J864" s="1140"/>
      <c r="K864" s="1139"/>
      <c r="L864" s="1140"/>
      <c r="M864" s="124" t="s">
        <v>49</v>
      </c>
    </row>
    <row r="865" spans="1:18" ht="18" customHeight="1" x14ac:dyDescent="0.2">
      <c r="A865" s="125"/>
      <c r="B865" s="934"/>
      <c r="C865" s="935"/>
      <c r="D865" s="935"/>
      <c r="E865" s="934"/>
      <c r="F865" s="935"/>
      <c r="G865" s="126"/>
      <c r="H865" s="127"/>
      <c r="I865" s="128" t="s">
        <v>645</v>
      </c>
      <c r="J865" s="129" t="s">
        <v>50</v>
      </c>
      <c r="K865" s="128" t="s">
        <v>645</v>
      </c>
      <c r="L865" s="129" t="s">
        <v>50</v>
      </c>
      <c r="M865" s="124"/>
    </row>
    <row r="866" spans="1:18" ht="18" customHeight="1" thickBot="1" x14ac:dyDescent="0.25">
      <c r="A866" s="130"/>
      <c r="B866" s="1128"/>
      <c r="C866" s="1129"/>
      <c r="D866" s="1130"/>
      <c r="E866" s="1128"/>
      <c r="F866" s="1129"/>
      <c r="G866" s="1130"/>
      <c r="H866" s="131"/>
      <c r="I866" s="131"/>
      <c r="J866" s="131"/>
      <c r="K866" s="131"/>
      <c r="L866" s="131"/>
      <c r="M866" s="132"/>
    </row>
    <row r="867" spans="1:18" ht="18" customHeight="1" x14ac:dyDescent="0.2">
      <c r="A867" s="183"/>
      <c r="B867" s="119"/>
      <c r="C867" s="119"/>
      <c r="D867" s="220"/>
      <c r="E867" s="119"/>
      <c r="F867" s="119"/>
      <c r="G867" s="220"/>
      <c r="H867" s="183"/>
      <c r="I867" s="183"/>
      <c r="J867" s="183"/>
      <c r="K867" s="183"/>
      <c r="L867" s="183"/>
      <c r="M867" s="183"/>
    </row>
    <row r="868" spans="1:18" s="148" customFormat="1" ht="18" customHeight="1" x14ac:dyDescent="0.25">
      <c r="A868" s="185">
        <v>1</v>
      </c>
      <c r="B868" s="140"/>
      <c r="C868" s="140"/>
      <c r="D868" s="186"/>
      <c r="E868" s="142" t="s">
        <v>926</v>
      </c>
      <c r="F868" s="157"/>
      <c r="G868" s="142"/>
      <c r="H868" s="143" t="s">
        <v>120</v>
      </c>
      <c r="I868" s="187" t="s">
        <v>114</v>
      </c>
      <c r="J868" s="145">
        <f>92248*12</f>
        <v>1106976</v>
      </c>
      <c r="K868" s="187" t="s">
        <v>114</v>
      </c>
      <c r="L868" s="145">
        <v>1128684</v>
      </c>
      <c r="M868" s="146">
        <f>L868-J868</f>
        <v>21708</v>
      </c>
      <c r="N868" s="115">
        <f>L868-J868</f>
        <v>21708</v>
      </c>
      <c r="O868" s="115">
        <f>N868-M868</f>
        <v>0</v>
      </c>
      <c r="P868" s="116">
        <v>77793</v>
      </c>
      <c r="Q868" s="116">
        <f>P868*12</f>
        <v>933516</v>
      </c>
      <c r="R868" s="147">
        <f>Q868-L868</f>
        <v>-195168</v>
      </c>
    </row>
    <row r="869" spans="1:18" s="148" customFormat="1" ht="18" customHeight="1" x14ac:dyDescent="0.25">
      <c r="A869" s="185"/>
      <c r="B869" s="140"/>
      <c r="C869" s="140"/>
      <c r="D869" s="186"/>
      <c r="E869" s="142" t="s">
        <v>927</v>
      </c>
      <c r="F869" s="157"/>
      <c r="G869" s="142"/>
      <c r="H869" s="143"/>
      <c r="I869" s="187"/>
      <c r="J869" s="145"/>
      <c r="K869" s="187"/>
      <c r="L869" s="145"/>
      <c r="M869" s="146"/>
      <c r="N869" s="115"/>
      <c r="O869" s="115"/>
      <c r="P869" s="116"/>
      <c r="Q869" s="116"/>
      <c r="R869" s="117"/>
    </row>
    <row r="870" spans="1:18" s="148" customFormat="1" ht="18" customHeight="1" x14ac:dyDescent="0.25">
      <c r="A870" s="185"/>
      <c r="B870" s="140"/>
      <c r="C870" s="140"/>
      <c r="D870" s="140"/>
      <c r="E870" s="139"/>
      <c r="F870" s="140"/>
      <c r="G870" s="142"/>
      <c r="H870" s="143"/>
      <c r="I870" s="188"/>
      <c r="J870" s="151"/>
      <c r="K870" s="188"/>
      <c r="L870" s="151"/>
      <c r="M870" s="146"/>
      <c r="N870" s="115"/>
      <c r="O870" s="115"/>
      <c r="P870" s="116"/>
      <c r="Q870" s="116"/>
      <c r="R870" s="117"/>
    </row>
    <row r="871" spans="1:18" s="148" customFormat="1" ht="18" customHeight="1" x14ac:dyDescent="0.25">
      <c r="A871" s="185">
        <v>2</v>
      </c>
      <c r="B871" s="140"/>
      <c r="C871" s="140"/>
      <c r="D871" s="140"/>
      <c r="E871" s="156" t="s">
        <v>121</v>
      </c>
      <c r="F871" s="140"/>
      <c r="G871" s="142"/>
      <c r="H871" s="143" t="s">
        <v>122</v>
      </c>
      <c r="I871" s="187" t="s">
        <v>398</v>
      </c>
      <c r="J871" s="145">
        <f>40810*12</f>
        <v>489720</v>
      </c>
      <c r="K871" s="187" t="s">
        <v>398</v>
      </c>
      <c r="L871" s="145">
        <v>507984</v>
      </c>
      <c r="M871" s="146">
        <f>L871-J871</f>
        <v>18264</v>
      </c>
      <c r="N871" s="115">
        <f>L871-J871</f>
        <v>18264</v>
      </c>
      <c r="O871" s="115">
        <f>N871-M871</f>
        <v>0</v>
      </c>
      <c r="P871" s="116">
        <v>36487</v>
      </c>
      <c r="Q871" s="116">
        <f>P871*12</f>
        <v>437844</v>
      </c>
      <c r="R871" s="147">
        <f>Q871-L871</f>
        <v>-70140</v>
      </c>
    </row>
    <row r="872" spans="1:18" s="148" customFormat="1" ht="18" customHeight="1" x14ac:dyDescent="0.25">
      <c r="A872" s="185"/>
      <c r="B872" s="140"/>
      <c r="C872" s="140"/>
      <c r="D872" s="140"/>
      <c r="E872" s="156"/>
      <c r="F872" s="140"/>
      <c r="G872" s="142"/>
      <c r="H872" s="143"/>
      <c r="I872" s="187"/>
      <c r="J872" s="145"/>
      <c r="K872" s="187" t="s">
        <v>964</v>
      </c>
      <c r="L872" s="145">
        <v>513816</v>
      </c>
      <c r="M872" s="146">
        <v>4860</v>
      </c>
      <c r="N872" s="115"/>
      <c r="O872" s="115"/>
      <c r="P872" s="116"/>
      <c r="Q872" s="116"/>
      <c r="R872" s="147"/>
    </row>
    <row r="873" spans="1:18" s="148" customFormat="1" ht="18" customHeight="1" x14ac:dyDescent="0.25">
      <c r="A873" s="185"/>
      <c r="B873" s="140"/>
      <c r="C873" s="140"/>
      <c r="D873" s="140"/>
      <c r="E873" s="156"/>
      <c r="F873" s="140"/>
      <c r="G873" s="142"/>
      <c r="H873" s="143"/>
      <c r="I873" s="187"/>
      <c r="J873" s="145"/>
      <c r="K873" s="187"/>
      <c r="L873" s="151">
        <v>44269</v>
      </c>
      <c r="M873" s="146"/>
      <c r="N873" s="115"/>
      <c r="O873" s="115"/>
      <c r="P873" s="116">
        <v>36927</v>
      </c>
      <c r="Q873" s="116">
        <f>P873*12</f>
        <v>443124</v>
      </c>
      <c r="R873" s="147">
        <f>Q873-L873</f>
        <v>398855</v>
      </c>
    </row>
    <row r="874" spans="1:18" s="148" customFormat="1" ht="18" customHeight="1" x14ac:dyDescent="0.25">
      <c r="A874" s="185"/>
      <c r="B874" s="1143"/>
      <c r="C874" s="1144"/>
      <c r="D874" s="1145"/>
      <c r="E874" s="156"/>
      <c r="F874" s="140"/>
      <c r="G874" s="142"/>
      <c r="H874" s="143"/>
      <c r="I874" s="187"/>
      <c r="J874" s="145"/>
      <c r="K874" s="187"/>
      <c r="L874" s="145"/>
      <c r="M874" s="146"/>
      <c r="N874" s="115"/>
      <c r="O874" s="115"/>
      <c r="P874" s="116"/>
      <c r="Q874" s="116"/>
      <c r="R874" s="147"/>
    </row>
    <row r="875" spans="1:18" s="148" customFormat="1" ht="18" customHeight="1" x14ac:dyDescent="0.25">
      <c r="A875" s="185">
        <v>3</v>
      </c>
      <c r="B875" s="1143"/>
      <c r="C875" s="1144"/>
      <c r="D875" s="1145"/>
      <c r="E875" s="156" t="s">
        <v>123</v>
      </c>
      <c r="F875" s="140"/>
      <c r="G875" s="142"/>
      <c r="H875" s="143" t="s">
        <v>124</v>
      </c>
      <c r="I875" s="187" t="s">
        <v>964</v>
      </c>
      <c r="J875" s="145">
        <f>41296*12</f>
        <v>495552</v>
      </c>
      <c r="K875" s="187" t="s">
        <v>964</v>
      </c>
      <c r="L875" s="145">
        <v>513816</v>
      </c>
      <c r="M875" s="146">
        <f>L875-J875</f>
        <v>18264</v>
      </c>
      <c r="N875" s="115">
        <f>L875-J875</f>
        <v>18264</v>
      </c>
      <c r="O875" s="115">
        <f>N875-M875</f>
        <v>0</v>
      </c>
      <c r="P875" s="116">
        <v>36927</v>
      </c>
      <c r="Q875" s="116">
        <f>P875*12</f>
        <v>443124</v>
      </c>
      <c r="R875" s="147">
        <f>Q875-L875</f>
        <v>-70692</v>
      </c>
    </row>
    <row r="876" spans="1:18" s="148" customFormat="1" ht="18" customHeight="1" x14ac:dyDescent="0.25">
      <c r="A876" s="185"/>
      <c r="B876" s="140"/>
      <c r="C876" s="140"/>
      <c r="D876" s="140"/>
      <c r="E876" s="156"/>
      <c r="F876" s="140"/>
      <c r="G876" s="142"/>
      <c r="H876" s="143"/>
      <c r="I876" s="187"/>
      <c r="J876" s="145"/>
      <c r="K876" s="187"/>
      <c r="L876" s="145"/>
      <c r="M876" s="146"/>
      <c r="N876" s="115"/>
      <c r="O876" s="115"/>
      <c r="P876" s="116"/>
      <c r="Q876" s="116"/>
      <c r="R876" s="147"/>
    </row>
    <row r="877" spans="1:18" s="148" customFormat="1" ht="18" customHeight="1" x14ac:dyDescent="0.25">
      <c r="A877" s="185"/>
      <c r="B877" s="140"/>
      <c r="C877" s="140"/>
      <c r="D877" s="140"/>
      <c r="E877" s="156"/>
      <c r="F877" s="140"/>
      <c r="G877" s="142"/>
      <c r="H877" s="143"/>
      <c r="I877" s="187"/>
      <c r="J877" s="145"/>
      <c r="K877" s="187"/>
      <c r="L877" s="145"/>
      <c r="M877" s="146"/>
      <c r="N877" s="115"/>
      <c r="O877" s="115"/>
      <c r="P877" s="116"/>
      <c r="Q877" s="116"/>
      <c r="R877" s="117"/>
    </row>
    <row r="878" spans="1:18" s="148" customFormat="1" ht="18" customHeight="1" x14ac:dyDescent="0.25">
      <c r="A878" s="185">
        <v>4</v>
      </c>
      <c r="B878" s="140"/>
      <c r="C878" s="140"/>
      <c r="D878" s="140"/>
      <c r="E878" s="156" t="s">
        <v>387</v>
      </c>
      <c r="F878" s="140"/>
      <c r="G878" s="142"/>
      <c r="H878" s="143" t="s">
        <v>125</v>
      </c>
      <c r="I878" s="187" t="s">
        <v>126</v>
      </c>
      <c r="J878" s="145">
        <f>14567*12</f>
        <v>174804</v>
      </c>
      <c r="K878" s="187" t="s">
        <v>126</v>
      </c>
      <c r="L878" s="145">
        <v>182304</v>
      </c>
      <c r="M878" s="146">
        <f>L878-J878</f>
        <v>7500</v>
      </c>
      <c r="N878" s="115">
        <f>L878-J878</f>
        <v>7500</v>
      </c>
      <c r="O878" s="115">
        <f>N878-M878</f>
        <v>0</v>
      </c>
      <c r="P878" s="116">
        <v>13424</v>
      </c>
      <c r="Q878" s="116">
        <f>P878*12</f>
        <v>161088</v>
      </c>
      <c r="R878" s="147">
        <f>Q878-L878</f>
        <v>-21216</v>
      </c>
    </row>
    <row r="879" spans="1:18" s="148" customFormat="1" ht="18" customHeight="1" x14ac:dyDescent="0.25">
      <c r="A879" s="185"/>
      <c r="B879" s="140"/>
      <c r="C879" s="140"/>
      <c r="D879" s="140"/>
      <c r="E879" s="156"/>
      <c r="F879" s="140"/>
      <c r="G879" s="142"/>
      <c r="H879" s="143"/>
      <c r="I879" s="187"/>
      <c r="J879" s="145"/>
      <c r="K879" s="187"/>
      <c r="L879" s="145"/>
      <c r="M879" s="146"/>
      <c r="N879" s="115"/>
      <c r="O879" s="115"/>
      <c r="P879" s="116"/>
      <c r="Q879" s="116"/>
      <c r="R879" s="117"/>
    </row>
    <row r="880" spans="1:18" s="148" customFormat="1" ht="18" customHeight="1" x14ac:dyDescent="0.25">
      <c r="A880" s="238"/>
      <c r="B880" s="196"/>
      <c r="C880" s="239"/>
      <c r="D880" s="239"/>
      <c r="E880" s="156"/>
      <c r="F880" s="196"/>
      <c r="G880" s="142"/>
      <c r="H880" s="143"/>
      <c r="I880" s="188"/>
      <c r="J880" s="145"/>
      <c r="K880" s="188"/>
      <c r="L880" s="145"/>
      <c r="M880" s="146"/>
      <c r="N880" s="115"/>
      <c r="O880" s="115"/>
      <c r="P880" s="116"/>
      <c r="Q880" s="116"/>
      <c r="R880" s="117"/>
    </row>
    <row r="881" spans="1:18" s="148" customFormat="1" ht="18" customHeight="1" x14ac:dyDescent="0.25">
      <c r="A881" s="185">
        <v>5</v>
      </c>
      <c r="B881" s="140"/>
      <c r="C881" s="140"/>
      <c r="D881" s="140"/>
      <c r="E881" s="156" t="s">
        <v>127</v>
      </c>
      <c r="F881" s="140"/>
      <c r="G881" s="142"/>
      <c r="H881" s="143" t="s">
        <v>140</v>
      </c>
      <c r="I881" s="187" t="s">
        <v>1501</v>
      </c>
      <c r="J881" s="145">
        <v>324804</v>
      </c>
      <c r="K881" s="187" t="s">
        <v>1501</v>
      </c>
      <c r="L881" s="145">
        <v>343068</v>
      </c>
      <c r="M881" s="146">
        <f>L881-J881</f>
        <v>18264</v>
      </c>
      <c r="N881" s="115">
        <f>L881-J881</f>
        <v>18264</v>
      </c>
      <c r="O881" s="115">
        <f>N881-M881</f>
        <v>0</v>
      </c>
      <c r="P881" s="116">
        <v>24224</v>
      </c>
      <c r="Q881" s="116">
        <f>P881*12</f>
        <v>290688</v>
      </c>
      <c r="R881" s="147">
        <f>Q881-L881</f>
        <v>-52380</v>
      </c>
    </row>
    <row r="882" spans="1:18" s="148" customFormat="1" ht="18" customHeight="1" x14ac:dyDescent="0.25">
      <c r="A882" s="185"/>
      <c r="B882" s="140"/>
      <c r="C882" s="140"/>
      <c r="D882" s="140"/>
      <c r="E882" s="156"/>
      <c r="F882" s="140"/>
      <c r="G882" s="142"/>
      <c r="H882" s="143"/>
      <c r="I882" s="187"/>
      <c r="J882" s="145"/>
      <c r="K882" s="187"/>
      <c r="L882" s="145"/>
      <c r="M882" s="146"/>
      <c r="N882" s="115"/>
      <c r="O882" s="115"/>
      <c r="P882" s="116"/>
      <c r="Q882" s="116"/>
      <c r="R882" s="147"/>
    </row>
    <row r="883" spans="1:18" s="148" customFormat="1" ht="18" customHeight="1" x14ac:dyDescent="0.25">
      <c r="A883" s="185"/>
      <c r="B883" s="140"/>
      <c r="C883" s="140"/>
      <c r="D883" s="140"/>
      <c r="E883" s="156"/>
      <c r="F883" s="140"/>
      <c r="G883" s="142"/>
      <c r="H883" s="143"/>
      <c r="I883" s="187"/>
      <c r="J883" s="145"/>
      <c r="K883" s="187"/>
      <c r="L883" s="145"/>
      <c r="M883" s="146"/>
      <c r="N883" s="115"/>
      <c r="O883" s="115"/>
      <c r="P883" s="116"/>
      <c r="Q883" s="116"/>
      <c r="R883" s="117"/>
    </row>
    <row r="884" spans="1:18" s="148" customFormat="1" ht="18" customHeight="1" x14ac:dyDescent="0.25">
      <c r="A884" s="185">
        <v>6</v>
      </c>
      <c r="B884" s="140"/>
      <c r="C884" s="140"/>
      <c r="D884" s="140"/>
      <c r="E884" s="240" t="s">
        <v>127</v>
      </c>
      <c r="F884" s="241"/>
      <c r="G884" s="242"/>
      <c r="H884" s="237" t="s">
        <v>129</v>
      </c>
      <c r="I884" s="243" t="s">
        <v>400</v>
      </c>
      <c r="J884" s="244">
        <f>29025*12</f>
        <v>348300</v>
      </c>
      <c r="K884" s="243" t="s">
        <v>400</v>
      </c>
      <c r="L884" s="244">
        <v>366564</v>
      </c>
      <c r="M884" s="146">
        <f>L884-J884</f>
        <v>18264</v>
      </c>
      <c r="N884" s="115">
        <f>L884-J884</f>
        <v>18264</v>
      </c>
      <c r="O884" s="115">
        <f>N884-M884</f>
        <v>0</v>
      </c>
      <c r="P884" s="116">
        <v>25989</v>
      </c>
      <c r="Q884" s="116">
        <f>P884*12</f>
        <v>311868</v>
      </c>
      <c r="R884" s="147">
        <f>Q884-L884</f>
        <v>-54696</v>
      </c>
    </row>
    <row r="885" spans="1:18" s="148" customFormat="1" ht="18" customHeight="1" x14ac:dyDescent="0.25">
      <c r="A885" s="185"/>
      <c r="B885" s="140"/>
      <c r="C885" s="140"/>
      <c r="D885" s="140"/>
      <c r="E885" s="240"/>
      <c r="F885" s="241"/>
      <c r="G885" s="242"/>
      <c r="H885" s="237"/>
      <c r="I885" s="243"/>
      <c r="J885" s="246"/>
      <c r="K885" s="243"/>
      <c r="L885" s="246"/>
      <c r="M885" s="245"/>
      <c r="N885" s="115"/>
      <c r="O885" s="115"/>
      <c r="P885" s="116"/>
      <c r="Q885" s="116"/>
      <c r="R885" s="117"/>
    </row>
    <row r="886" spans="1:18" s="148" customFormat="1" ht="18" customHeight="1" x14ac:dyDescent="0.25">
      <c r="A886" s="185"/>
      <c r="B886" s="140"/>
      <c r="C886" s="140"/>
      <c r="D886" s="140"/>
      <c r="E886" s="156"/>
      <c r="F886" s="140"/>
      <c r="G886" s="142"/>
      <c r="H886" s="143"/>
      <c r="I886" s="187"/>
      <c r="J886" s="145"/>
      <c r="K886" s="187"/>
      <c r="L886" s="145"/>
      <c r="M886" s="146"/>
      <c r="N886" s="115"/>
      <c r="O886" s="115"/>
      <c r="P886" s="116"/>
      <c r="Q886" s="116"/>
      <c r="R886" s="117"/>
    </row>
    <row r="887" spans="1:18" s="148" customFormat="1" ht="18" customHeight="1" x14ac:dyDescent="0.25">
      <c r="A887" s="185">
        <v>7</v>
      </c>
      <c r="B887" s="140"/>
      <c r="C887" s="140"/>
      <c r="D887" s="140"/>
      <c r="E887" s="156" t="s">
        <v>130</v>
      </c>
      <c r="F887" s="140"/>
      <c r="G887" s="142"/>
      <c r="H887" s="143" t="s">
        <v>433</v>
      </c>
      <c r="I887" s="187" t="s">
        <v>137</v>
      </c>
      <c r="J887" s="145">
        <f>22600*12</f>
        <v>271200</v>
      </c>
      <c r="K887" s="187" t="s">
        <v>137</v>
      </c>
      <c r="L887" s="145">
        <v>289932</v>
      </c>
      <c r="M887" s="146">
        <f>L887-J887</f>
        <v>18732</v>
      </c>
      <c r="N887" s="115">
        <f>L887-J887</f>
        <v>18732</v>
      </c>
      <c r="O887" s="115">
        <f>N887-M887</f>
        <v>0</v>
      </c>
      <c r="P887" s="116">
        <v>20179</v>
      </c>
      <c r="Q887" s="116">
        <f>P887*12</f>
        <v>242148</v>
      </c>
      <c r="R887" s="147">
        <f>Q887-L887</f>
        <v>-47784</v>
      </c>
    </row>
    <row r="888" spans="1:18" s="148" customFormat="1" ht="18" customHeight="1" x14ac:dyDescent="0.25">
      <c r="A888" s="185"/>
      <c r="B888" s="140"/>
      <c r="C888" s="140"/>
      <c r="D888" s="140"/>
      <c r="E888" s="156"/>
      <c r="F888" s="140"/>
      <c r="G888" s="142"/>
      <c r="H888" s="143"/>
      <c r="I888" s="187"/>
      <c r="J888" s="151"/>
      <c r="K888" s="187"/>
      <c r="L888" s="151"/>
      <c r="M888" s="146"/>
      <c r="N888" s="115"/>
      <c r="O888" s="115"/>
      <c r="P888" s="116"/>
      <c r="Q888" s="116"/>
      <c r="R888" s="117"/>
    </row>
    <row r="889" spans="1:18" s="148" customFormat="1" ht="18" customHeight="1" x14ac:dyDescent="0.25">
      <c r="A889" s="185"/>
      <c r="B889" s="140"/>
      <c r="C889" s="140"/>
      <c r="D889" s="140"/>
      <c r="E889" s="156"/>
      <c r="F889" s="140"/>
      <c r="G889" s="142"/>
      <c r="H889" s="143"/>
      <c r="I889" s="188"/>
      <c r="J889" s="145"/>
      <c r="K889" s="188"/>
      <c r="L889" s="145"/>
      <c r="M889" s="146"/>
      <c r="N889" s="115"/>
      <c r="O889" s="115"/>
      <c r="P889" s="116"/>
      <c r="Q889" s="116"/>
      <c r="R889" s="117"/>
    </row>
    <row r="890" spans="1:18" s="148" customFormat="1" ht="18" customHeight="1" x14ac:dyDescent="0.25">
      <c r="A890" s="185">
        <v>8</v>
      </c>
      <c r="B890" s="140"/>
      <c r="C890" s="140"/>
      <c r="D890" s="140"/>
      <c r="E890" s="156" t="s">
        <v>130</v>
      </c>
      <c r="F890" s="140"/>
      <c r="G890" s="142"/>
      <c r="H890" s="143" t="s">
        <v>907</v>
      </c>
      <c r="I890" s="187" t="s">
        <v>137</v>
      </c>
      <c r="J890" s="145">
        <f>22600*12</f>
        <v>271200</v>
      </c>
      <c r="K890" s="187" t="s">
        <v>137</v>
      </c>
      <c r="L890" s="145">
        <v>289932</v>
      </c>
      <c r="M890" s="146">
        <f>L890-J890</f>
        <v>18732</v>
      </c>
      <c r="N890" s="115">
        <f>L890-J890</f>
        <v>18732</v>
      </c>
      <c r="O890" s="115">
        <f>N890-M890</f>
        <v>0</v>
      </c>
      <c r="P890" s="116">
        <v>20179</v>
      </c>
      <c r="Q890" s="116">
        <f>P890*12</f>
        <v>242148</v>
      </c>
      <c r="R890" s="147">
        <f>Q890-L890</f>
        <v>-47784</v>
      </c>
    </row>
    <row r="891" spans="1:18" s="148" customFormat="1" ht="18" customHeight="1" x14ac:dyDescent="0.25">
      <c r="A891" s="185"/>
      <c r="B891" s="140"/>
      <c r="C891" s="140"/>
      <c r="D891" s="140"/>
      <c r="E891" s="156"/>
      <c r="F891" s="140"/>
      <c r="G891" s="142"/>
      <c r="H891" s="143"/>
      <c r="I891" s="187"/>
      <c r="J891" s="151"/>
      <c r="K891" s="187"/>
      <c r="L891" s="151"/>
      <c r="M891" s="146"/>
      <c r="N891" s="115"/>
      <c r="O891" s="115"/>
      <c r="P891" s="116"/>
      <c r="Q891" s="116"/>
      <c r="R891" s="117"/>
    </row>
    <row r="892" spans="1:18" s="148" customFormat="1" ht="18" customHeight="1" x14ac:dyDescent="0.25">
      <c r="A892" s="185"/>
      <c r="B892" s="140"/>
      <c r="C892" s="140"/>
      <c r="D892" s="140"/>
      <c r="E892" s="156"/>
      <c r="F892" s="140"/>
      <c r="G892" s="142"/>
      <c r="H892" s="143"/>
      <c r="I892" s="188"/>
      <c r="J892" s="145"/>
      <c r="K892" s="188"/>
      <c r="L892" s="145"/>
      <c r="M892" s="146"/>
      <c r="N892" s="115"/>
      <c r="O892" s="115"/>
      <c r="P892" s="116"/>
      <c r="Q892" s="116"/>
      <c r="R892" s="117"/>
    </row>
    <row r="893" spans="1:18" s="148" customFormat="1" ht="18" customHeight="1" x14ac:dyDescent="0.25">
      <c r="A893" s="185">
        <v>9</v>
      </c>
      <c r="B893" s="140"/>
      <c r="C893" s="140"/>
      <c r="D893" s="140"/>
      <c r="E893" s="156" t="s">
        <v>130</v>
      </c>
      <c r="F893" s="140"/>
      <c r="G893" s="142"/>
      <c r="H893" s="143" t="s">
        <v>142</v>
      </c>
      <c r="I893" s="187" t="s">
        <v>137</v>
      </c>
      <c r="J893" s="145">
        <f>22600*12</f>
        <v>271200</v>
      </c>
      <c r="K893" s="187" t="s">
        <v>137</v>
      </c>
      <c r="L893" s="145">
        <v>289932</v>
      </c>
      <c r="M893" s="146">
        <f>L893-J893</f>
        <v>18732</v>
      </c>
      <c r="N893" s="115">
        <f>L893-J893</f>
        <v>18732</v>
      </c>
      <c r="O893" s="115">
        <f>N893-M893</f>
        <v>0</v>
      </c>
      <c r="P893" s="116">
        <v>20179</v>
      </c>
      <c r="Q893" s="116">
        <f>P893*12</f>
        <v>242148</v>
      </c>
      <c r="R893" s="147">
        <f>Q893-L893</f>
        <v>-47784</v>
      </c>
    </row>
    <row r="894" spans="1:18" s="148" customFormat="1" ht="18" customHeight="1" x14ac:dyDescent="0.25">
      <c r="A894" s="185"/>
      <c r="B894" s="140"/>
      <c r="C894" s="140"/>
      <c r="D894" s="140"/>
      <c r="E894" s="156"/>
      <c r="F894" s="140"/>
      <c r="G894" s="142"/>
      <c r="H894" s="143"/>
      <c r="I894" s="187"/>
      <c r="J894" s="145"/>
      <c r="K894" s="187" t="s">
        <v>141</v>
      </c>
      <c r="L894" s="145">
        <v>293400</v>
      </c>
      <c r="M894" s="146">
        <v>867</v>
      </c>
      <c r="N894" s="115"/>
      <c r="O894" s="115"/>
      <c r="P894" s="116"/>
      <c r="Q894" s="116"/>
      <c r="R894" s="147"/>
    </row>
    <row r="895" spans="1:18" s="148" customFormat="1" ht="18" customHeight="1" x14ac:dyDescent="0.25">
      <c r="A895" s="185"/>
      <c r="B895" s="140"/>
      <c r="C895" s="140"/>
      <c r="D895" s="140"/>
      <c r="E895" s="156"/>
      <c r="F895" s="140"/>
      <c r="G895" s="142"/>
      <c r="H895" s="143"/>
      <c r="I895" s="187"/>
      <c r="J895" s="145"/>
      <c r="K895" s="187"/>
      <c r="L895" s="151">
        <v>44470</v>
      </c>
      <c r="M895" s="146"/>
      <c r="N895" s="115"/>
      <c r="O895" s="115"/>
      <c r="P895" s="116">
        <v>20437</v>
      </c>
      <c r="Q895" s="116">
        <f>P895*12</f>
        <v>245244</v>
      </c>
      <c r="R895" s="147">
        <f>Q895-L895</f>
        <v>200774</v>
      </c>
    </row>
    <row r="896" spans="1:18" s="148" customFormat="1" ht="18" customHeight="1" x14ac:dyDescent="0.25">
      <c r="A896" s="185"/>
      <c r="B896" s="140"/>
      <c r="C896" s="140"/>
      <c r="D896" s="140"/>
      <c r="E896" s="156"/>
      <c r="F896" s="140"/>
      <c r="G896" s="142"/>
      <c r="H896" s="143"/>
      <c r="I896" s="188"/>
      <c r="J896" s="145"/>
      <c r="K896" s="188"/>
      <c r="L896" s="145"/>
      <c r="M896" s="146"/>
      <c r="N896" s="115"/>
      <c r="O896" s="115"/>
      <c r="P896" s="116"/>
      <c r="Q896" s="116"/>
      <c r="R896" s="117"/>
    </row>
    <row r="897" spans="1:18" s="148" customFormat="1" ht="18" customHeight="1" x14ac:dyDescent="0.25">
      <c r="A897" s="185">
        <v>10</v>
      </c>
      <c r="B897" s="140"/>
      <c r="C897" s="140"/>
      <c r="D897" s="140"/>
      <c r="E897" s="156" t="s">
        <v>130</v>
      </c>
      <c r="F897" s="140"/>
      <c r="G897" s="142"/>
      <c r="H897" s="143" t="s">
        <v>132</v>
      </c>
      <c r="I897" s="197" t="s">
        <v>67</v>
      </c>
      <c r="J897" s="145">
        <f>24391*12</f>
        <v>292692</v>
      </c>
      <c r="K897" s="197" t="s">
        <v>67</v>
      </c>
      <c r="L897" s="145">
        <v>311424</v>
      </c>
      <c r="M897" s="146">
        <f>L897-J897</f>
        <v>18732</v>
      </c>
      <c r="N897" s="115">
        <f>L897-J897</f>
        <v>18732</v>
      </c>
      <c r="O897" s="115">
        <f>N897-M897</f>
        <v>0</v>
      </c>
      <c r="P897" s="116">
        <v>22055</v>
      </c>
      <c r="Q897" s="116">
        <f>P897*12</f>
        <v>264660</v>
      </c>
      <c r="R897" s="147">
        <f>Q897-L897</f>
        <v>-46764</v>
      </c>
    </row>
    <row r="898" spans="1:18" s="148" customFormat="1" ht="18" customHeight="1" x14ac:dyDescent="0.25">
      <c r="A898" s="185"/>
      <c r="B898" s="140"/>
      <c r="C898" s="140"/>
      <c r="D898" s="140"/>
      <c r="E898" s="156"/>
      <c r="F898" s="140"/>
      <c r="G898" s="142"/>
      <c r="H898" s="143"/>
      <c r="I898" s="197"/>
      <c r="J898" s="145"/>
      <c r="K898" s="197"/>
      <c r="L898" s="145"/>
      <c r="M898" s="146"/>
      <c r="N898" s="115"/>
      <c r="O898" s="115"/>
      <c r="P898" s="116"/>
      <c r="Q898" s="116"/>
      <c r="R898" s="117"/>
    </row>
    <row r="899" spans="1:18" s="148" customFormat="1" ht="18" customHeight="1" x14ac:dyDescent="0.25">
      <c r="A899" s="185"/>
      <c r="B899" s="140"/>
      <c r="C899" s="140"/>
      <c r="D899" s="140"/>
      <c r="E899" s="156"/>
      <c r="F899" s="140"/>
      <c r="G899" s="142"/>
      <c r="H899" s="143"/>
      <c r="I899" s="197"/>
      <c r="J899" s="151"/>
      <c r="K899" s="197"/>
      <c r="L899" s="151"/>
      <c r="M899" s="146"/>
      <c r="N899" s="115"/>
      <c r="O899" s="115"/>
      <c r="P899" s="116"/>
      <c r="Q899" s="116"/>
      <c r="R899" s="117"/>
    </row>
    <row r="900" spans="1:18" s="148" customFormat="1" ht="18" customHeight="1" x14ac:dyDescent="0.25">
      <c r="A900" s="185">
        <v>11</v>
      </c>
      <c r="B900" s="140"/>
      <c r="C900" s="140"/>
      <c r="D900" s="140"/>
      <c r="E900" s="156" t="s">
        <v>133</v>
      </c>
      <c r="F900" s="140"/>
      <c r="G900" s="142"/>
      <c r="H900" s="143" t="s">
        <v>232</v>
      </c>
      <c r="I900" s="187" t="s">
        <v>1500</v>
      </c>
      <c r="J900" s="145">
        <f>12369*12</f>
        <v>148428</v>
      </c>
      <c r="K900" s="187" t="s">
        <v>1500</v>
      </c>
      <c r="L900" s="145">
        <v>154656</v>
      </c>
      <c r="M900" s="146">
        <f>L900-J900</f>
        <v>6228</v>
      </c>
      <c r="N900" s="115">
        <f>L900-J900</f>
        <v>6228</v>
      </c>
      <c r="O900" s="115">
        <f>N900-M900</f>
        <v>0</v>
      </c>
      <c r="P900" s="116">
        <v>11200</v>
      </c>
      <c r="Q900" s="116">
        <f>P900*12</f>
        <v>134400</v>
      </c>
      <c r="R900" s="147">
        <f>Q900-L900</f>
        <v>-20256</v>
      </c>
    </row>
    <row r="901" spans="1:18" s="148" customFormat="1" ht="18" customHeight="1" x14ac:dyDescent="0.25">
      <c r="A901" s="185"/>
      <c r="B901" s="140"/>
      <c r="C901" s="140"/>
      <c r="D901" s="140"/>
      <c r="E901" s="156"/>
      <c r="F901" s="140"/>
      <c r="G901" s="142"/>
      <c r="H901" s="143"/>
      <c r="I901" s="187"/>
      <c r="J901" s="151"/>
      <c r="K901" s="187"/>
      <c r="L901" s="151"/>
      <c r="M901" s="146"/>
      <c r="N901" s="115"/>
      <c r="O901" s="115"/>
      <c r="P901" s="116"/>
      <c r="Q901" s="116"/>
      <c r="R901" s="117"/>
    </row>
    <row r="902" spans="1:18" s="148" customFormat="1" ht="18" customHeight="1" x14ac:dyDescent="0.25">
      <c r="A902" s="185"/>
      <c r="B902" s="140"/>
      <c r="C902" s="140"/>
      <c r="D902" s="140"/>
      <c r="E902" s="156"/>
      <c r="F902" s="140"/>
      <c r="G902" s="142"/>
      <c r="H902" s="143"/>
      <c r="I902" s="188"/>
      <c r="J902" s="145"/>
      <c r="K902" s="188"/>
      <c r="L902" s="145"/>
      <c r="M902" s="146"/>
      <c r="N902" s="115"/>
      <c r="O902" s="115"/>
      <c r="P902" s="116"/>
      <c r="Q902" s="116"/>
      <c r="R902" s="117"/>
    </row>
    <row r="903" spans="1:18" s="148" customFormat="1" ht="18" customHeight="1" x14ac:dyDescent="0.25">
      <c r="A903" s="185">
        <v>12</v>
      </c>
      <c r="B903" s="140"/>
      <c r="C903" s="140"/>
      <c r="D903" s="140"/>
      <c r="E903" s="156" t="s">
        <v>135</v>
      </c>
      <c r="F903" s="140"/>
      <c r="G903" s="142"/>
      <c r="H903" s="143" t="s">
        <v>136</v>
      </c>
      <c r="I903" s="187" t="s">
        <v>450</v>
      </c>
      <c r="J903" s="145">
        <f>23477*12</f>
        <v>281724</v>
      </c>
      <c r="K903" s="187" t="s">
        <v>450</v>
      </c>
      <c r="L903" s="145">
        <v>300456</v>
      </c>
      <c r="M903" s="146">
        <f>L903-J903</f>
        <v>18732</v>
      </c>
      <c r="N903" s="115">
        <f>L903-J903</f>
        <v>18732</v>
      </c>
      <c r="O903" s="115">
        <f>N903-M903</f>
        <v>0</v>
      </c>
      <c r="P903" s="116">
        <v>20963</v>
      </c>
      <c r="Q903" s="116">
        <f>P903*12</f>
        <v>251556</v>
      </c>
      <c r="R903" s="147">
        <f>Q903-L903</f>
        <v>-48900</v>
      </c>
    </row>
    <row r="904" spans="1:18" s="148" customFormat="1" ht="18" customHeight="1" x14ac:dyDescent="0.25">
      <c r="A904" s="185"/>
      <c r="B904" s="140"/>
      <c r="C904" s="140"/>
      <c r="D904" s="140"/>
      <c r="E904" s="156"/>
      <c r="F904" s="140"/>
      <c r="G904" s="142"/>
      <c r="H904" s="143"/>
      <c r="I904" s="187"/>
      <c r="J904" s="151"/>
      <c r="K904" s="187"/>
      <c r="L904" s="151"/>
      <c r="M904" s="146"/>
      <c r="N904" s="115"/>
      <c r="O904" s="115"/>
      <c r="P904" s="116"/>
      <c r="Q904" s="116"/>
      <c r="R904" s="147"/>
    </row>
    <row r="905" spans="1:18" s="148" customFormat="1" ht="18" customHeight="1" x14ac:dyDescent="0.25">
      <c r="A905" s="185"/>
      <c r="B905" s="140"/>
      <c r="C905" s="140"/>
      <c r="D905" s="140"/>
      <c r="E905" s="156"/>
      <c r="F905" s="140"/>
      <c r="G905" s="142"/>
      <c r="H905" s="143"/>
      <c r="I905" s="187"/>
      <c r="J905" s="145"/>
      <c r="K905" s="187"/>
      <c r="L905" s="145"/>
      <c r="M905" s="145"/>
      <c r="N905" s="115"/>
      <c r="O905" s="115"/>
      <c r="P905" s="116"/>
      <c r="Q905" s="116"/>
      <c r="R905" s="117"/>
    </row>
    <row r="906" spans="1:18" s="148" customFormat="1" ht="18" customHeight="1" x14ac:dyDescent="0.25">
      <c r="A906" s="185">
        <v>13</v>
      </c>
      <c r="B906" s="140"/>
      <c r="C906" s="140"/>
      <c r="D906" s="140"/>
      <c r="E906" s="156" t="s">
        <v>427</v>
      </c>
      <c r="F906" s="140"/>
      <c r="G906" s="142"/>
      <c r="H906" s="143" t="s">
        <v>134</v>
      </c>
      <c r="I906" s="144" t="s">
        <v>446</v>
      </c>
      <c r="J906" s="145">
        <f>15643*12</f>
        <v>187716</v>
      </c>
      <c r="K906" s="144" t="s">
        <v>446</v>
      </c>
      <c r="L906" s="145">
        <v>195900</v>
      </c>
      <c r="M906" s="146">
        <f>L906-J906</f>
        <v>8184</v>
      </c>
      <c r="N906" s="115">
        <f>L906-J906</f>
        <v>8184</v>
      </c>
      <c r="O906" s="115">
        <f>N906-M906</f>
        <v>0</v>
      </c>
      <c r="P906" s="116">
        <v>14340</v>
      </c>
      <c r="Q906" s="116">
        <f>P906*12</f>
        <v>172080</v>
      </c>
      <c r="R906" s="147">
        <f>Q906-L906</f>
        <v>-23820</v>
      </c>
    </row>
    <row r="907" spans="1:18" s="148" customFormat="1" ht="18" customHeight="1" x14ac:dyDescent="0.25">
      <c r="A907" s="185"/>
      <c r="B907" s="140"/>
      <c r="C907" s="140"/>
      <c r="D907" s="140"/>
      <c r="E907" s="156"/>
      <c r="F907" s="140"/>
      <c r="G907" s="142"/>
      <c r="H907" s="143"/>
      <c r="I907" s="144"/>
      <c r="J907" s="151"/>
      <c r="K907" s="144"/>
      <c r="L907" s="151"/>
      <c r="M907" s="146"/>
      <c r="N907" s="115"/>
      <c r="O907" s="115"/>
      <c r="P907" s="116"/>
      <c r="Q907" s="116"/>
      <c r="R907" s="117"/>
    </row>
    <row r="908" spans="1:18" s="148" customFormat="1" ht="18" customHeight="1" x14ac:dyDescent="0.25">
      <c r="A908" s="185"/>
      <c r="B908" s="140"/>
      <c r="C908" s="140"/>
      <c r="D908" s="140"/>
      <c r="E908" s="139"/>
      <c r="F908" s="140"/>
      <c r="G908" s="142"/>
      <c r="H908" s="143"/>
      <c r="I908" s="144"/>
      <c r="J908" s="145"/>
      <c r="K908" s="144"/>
      <c r="L908" s="145"/>
      <c r="M908" s="145"/>
      <c r="N908" s="115"/>
      <c r="O908" s="115"/>
      <c r="P908" s="116"/>
      <c r="Q908" s="116"/>
      <c r="R908" s="117"/>
    </row>
    <row r="909" spans="1:18" s="170" customFormat="1" ht="18" customHeight="1" thickBot="1" x14ac:dyDescent="0.3">
      <c r="A909" s="163"/>
      <c r="B909" s="160"/>
      <c r="C909" s="160"/>
      <c r="D909" s="160"/>
      <c r="E909" s="189"/>
      <c r="F909" s="160"/>
      <c r="G909" s="162"/>
      <c r="H909" s="163" t="s">
        <v>15</v>
      </c>
      <c r="I909" s="190"/>
      <c r="J909" s="166">
        <f>SUM(J868:J908)</f>
        <v>4664316</v>
      </c>
      <c r="K909" s="190"/>
      <c r="L909" s="166"/>
      <c r="M909" s="166">
        <f>SUM(M868:M908)</f>
        <v>216063</v>
      </c>
      <c r="N909" s="167"/>
      <c r="O909" s="167"/>
      <c r="P909" s="168"/>
      <c r="Q909" s="168"/>
      <c r="R909" s="169"/>
    </row>
    <row r="910" spans="1:18" s="148" customFormat="1" ht="18" customHeight="1" thickTop="1" x14ac:dyDescent="0.25">
      <c r="A910" s="140"/>
      <c r="B910" s="140"/>
      <c r="C910" s="140"/>
      <c r="D910" s="140"/>
      <c r="E910" s="140"/>
      <c r="F910" s="140"/>
      <c r="G910" s="157"/>
      <c r="H910" s="157"/>
      <c r="I910" s="140"/>
      <c r="J910" s="172"/>
      <c r="K910" s="154"/>
      <c r="L910" s="172"/>
      <c r="M910" s="172"/>
      <c r="N910" s="115"/>
      <c r="O910" s="115"/>
      <c r="P910" s="116"/>
      <c r="Q910" s="116"/>
      <c r="R910" s="117"/>
    </row>
    <row r="911" spans="1:18" s="148" customFormat="1" ht="18" customHeight="1" x14ac:dyDescent="0.25">
      <c r="A911" s="140"/>
      <c r="B911" s="140"/>
      <c r="C911" s="140"/>
      <c r="D911" s="140"/>
      <c r="E911" s="140"/>
      <c r="F911" s="140"/>
      <c r="G911" s="157"/>
      <c r="H911" s="157"/>
      <c r="I911" s="140"/>
      <c r="J911" s="172"/>
      <c r="K911" s="154"/>
      <c r="L911" s="172"/>
      <c r="M911" s="172"/>
      <c r="N911" s="115"/>
      <c r="O911" s="115"/>
      <c r="P911" s="116"/>
      <c r="Q911" s="116"/>
      <c r="R911" s="117"/>
    </row>
    <row r="912" spans="1:18" s="148" customFormat="1" ht="18" customHeight="1" x14ac:dyDescent="0.25">
      <c r="A912" s="140"/>
      <c r="B912" s="140"/>
      <c r="C912" s="140"/>
      <c r="D912" s="140"/>
      <c r="E912" s="140"/>
      <c r="F912" s="140"/>
      <c r="G912" s="157"/>
      <c r="H912" s="157"/>
      <c r="I912" s="140"/>
      <c r="J912" s="172"/>
      <c r="K912" s="154"/>
      <c r="L912" s="172"/>
      <c r="M912" s="172"/>
      <c r="N912" s="115"/>
      <c r="O912" s="115"/>
      <c r="P912" s="116"/>
      <c r="Q912" s="116"/>
      <c r="R912" s="117"/>
    </row>
    <row r="913" spans="1:22" s="148" customFormat="1" ht="18" customHeight="1" x14ac:dyDescent="0.25">
      <c r="A913" s="175" t="s">
        <v>636</v>
      </c>
      <c r="B913" s="175"/>
      <c r="C913" s="932"/>
      <c r="D913" s="932"/>
      <c r="E913" s="176"/>
      <c r="F913" s="176"/>
      <c r="G913" s="176"/>
      <c r="H913" s="175" t="s">
        <v>637</v>
      </c>
      <c r="I913" s="176"/>
      <c r="K913" s="175" t="s">
        <v>264</v>
      </c>
      <c r="L913" s="177"/>
      <c r="M913" s="177"/>
      <c r="N913" s="115"/>
      <c r="O913" s="115"/>
      <c r="P913" s="116"/>
      <c r="Q913" s="116"/>
      <c r="R913" s="117"/>
    </row>
    <row r="914" spans="1:22" s="148" customFormat="1" ht="18" customHeight="1" x14ac:dyDescent="0.25">
      <c r="A914" s="176"/>
      <c r="B914" s="176"/>
      <c r="C914" s="933"/>
      <c r="D914" s="933"/>
      <c r="E914" s="176"/>
      <c r="F914" s="176"/>
      <c r="G914" s="176"/>
      <c r="H914" s="176"/>
      <c r="I914" s="176"/>
      <c r="J914" s="176"/>
      <c r="K914" s="178"/>
      <c r="L914" s="177"/>
      <c r="M914" s="177"/>
      <c r="N914" s="115"/>
      <c r="O914" s="115"/>
      <c r="P914" s="116"/>
      <c r="Q914" s="116"/>
      <c r="R914" s="117"/>
    </row>
    <row r="915" spans="1:22" s="148" customFormat="1" ht="18" customHeight="1" x14ac:dyDescent="0.25">
      <c r="A915" s="1131" t="s">
        <v>66</v>
      </c>
      <c r="B915" s="1131"/>
      <c r="C915" s="1131"/>
      <c r="D915" s="1131"/>
      <c r="E915" s="1131"/>
      <c r="F915" s="1131"/>
      <c r="G915" s="176"/>
      <c r="H915" s="1131" t="s">
        <v>17</v>
      </c>
      <c r="I915" s="1131"/>
      <c r="J915" s="176"/>
      <c r="K915" s="1131" t="s">
        <v>1493</v>
      </c>
      <c r="L915" s="1131"/>
      <c r="M915" s="1131"/>
      <c r="N915" s="115"/>
      <c r="O915" s="115"/>
      <c r="P915" s="116"/>
      <c r="Q915" s="116"/>
      <c r="R915" s="117"/>
    </row>
    <row r="916" spans="1:22" s="148" customFormat="1" ht="18" customHeight="1" x14ac:dyDescent="0.25">
      <c r="A916" s="1132" t="s">
        <v>437</v>
      </c>
      <c r="B916" s="1132"/>
      <c r="C916" s="1132"/>
      <c r="D916" s="1132"/>
      <c r="E916" s="1132"/>
      <c r="F916" s="1132"/>
      <c r="G916" s="179"/>
      <c r="H916" s="1132" t="s">
        <v>18</v>
      </c>
      <c r="I916" s="1132"/>
      <c r="J916" s="932"/>
      <c r="K916" s="1132" t="s">
        <v>14</v>
      </c>
      <c r="L916" s="1132"/>
      <c r="M916" s="1132"/>
      <c r="N916" s="115"/>
      <c r="O916" s="115"/>
      <c r="P916" s="116"/>
      <c r="Q916" s="116"/>
      <c r="R916" s="117"/>
    </row>
    <row r="917" spans="1:22" s="148" customFormat="1" ht="18" customHeight="1" x14ac:dyDescent="0.25">
      <c r="A917" s="933"/>
      <c r="B917" s="933"/>
      <c r="C917" s="933"/>
      <c r="D917" s="933"/>
      <c r="E917" s="933"/>
      <c r="F917" s="933"/>
      <c r="G917" s="179"/>
      <c r="H917" s="933"/>
      <c r="I917" s="933"/>
      <c r="J917" s="932"/>
      <c r="K917" s="933"/>
      <c r="L917" s="933"/>
      <c r="M917" s="933"/>
      <c r="N917" s="115"/>
      <c r="O917" s="115"/>
      <c r="P917" s="116"/>
      <c r="Q917" s="116"/>
      <c r="R917" s="117"/>
    </row>
    <row r="918" spans="1:22" s="148" customFormat="1" ht="18" customHeight="1" x14ac:dyDescent="0.25">
      <c r="A918" s="933"/>
      <c r="B918" s="933"/>
      <c r="C918" s="933"/>
      <c r="D918" s="933"/>
      <c r="E918" s="933"/>
      <c r="F918" s="933"/>
      <c r="G918" s="179"/>
      <c r="H918" s="933"/>
      <c r="I918" s="933"/>
      <c r="J918" s="932"/>
      <c r="K918" s="933"/>
      <c r="L918" s="933"/>
      <c r="M918" s="933"/>
      <c r="N918" s="115"/>
      <c r="O918" s="115"/>
      <c r="P918" s="116"/>
      <c r="Q918" s="116"/>
      <c r="R918" s="117"/>
    </row>
    <row r="919" spans="1:22" s="148" customFormat="1" ht="18" customHeight="1" x14ac:dyDescent="0.25">
      <c r="A919" s="933"/>
      <c r="B919" s="933"/>
      <c r="C919" s="933"/>
      <c r="D919" s="933"/>
      <c r="E919" s="933"/>
      <c r="F919" s="933"/>
      <c r="G919" s="179"/>
      <c r="H919" s="933"/>
      <c r="I919" s="933"/>
      <c r="J919" s="932"/>
      <c r="K919" s="933"/>
      <c r="L919" s="933"/>
      <c r="M919" s="933"/>
      <c r="N919" s="115"/>
      <c r="O919" s="115"/>
      <c r="P919" s="116"/>
      <c r="Q919" s="116"/>
      <c r="R919" s="117"/>
    </row>
    <row r="920" spans="1:22" s="148" customFormat="1" ht="18" customHeight="1" x14ac:dyDescent="0.25">
      <c r="A920" s="933"/>
      <c r="B920" s="933"/>
      <c r="C920" s="933"/>
      <c r="D920" s="933"/>
      <c r="E920" s="933"/>
      <c r="F920" s="933"/>
      <c r="G920" s="179"/>
      <c r="H920" s="933"/>
      <c r="I920" s="933"/>
      <c r="J920" s="932"/>
      <c r="K920" s="933"/>
      <c r="L920" s="933"/>
      <c r="M920" s="933"/>
      <c r="N920" s="115"/>
      <c r="O920" s="115"/>
      <c r="P920" s="116"/>
      <c r="Q920" s="116"/>
      <c r="R920" s="117"/>
    </row>
    <row r="921" spans="1:22" s="115" customFormat="1" ht="18" customHeight="1" x14ac:dyDescent="0.2">
      <c r="A921" s="118"/>
      <c r="B921" s="118"/>
      <c r="C921" s="212"/>
      <c r="D921" s="212"/>
      <c r="E921" s="118"/>
      <c r="F921" s="118"/>
      <c r="G921" s="118"/>
      <c r="H921" s="118"/>
      <c r="I921" s="118"/>
      <c r="J921" s="118"/>
      <c r="K921" s="136"/>
      <c r="L921" s="113"/>
      <c r="M921" s="180"/>
      <c r="P921" s="116"/>
      <c r="Q921" s="116"/>
      <c r="R921" s="117"/>
      <c r="S921" s="118"/>
      <c r="T921" s="118"/>
      <c r="U921" s="118"/>
      <c r="V921" s="118"/>
    </row>
    <row r="922" spans="1:22" s="273" customFormat="1" ht="20.100000000000001" customHeight="1" x14ac:dyDescent="0.35">
      <c r="A922" s="1142" t="s">
        <v>1012</v>
      </c>
      <c r="B922" s="1142"/>
      <c r="C922" s="1142"/>
      <c r="D922" s="1142"/>
      <c r="E922" s="1142"/>
      <c r="F922" s="1142"/>
      <c r="G922" s="1142"/>
      <c r="H922" s="1142"/>
      <c r="I922" s="1142"/>
      <c r="J922" s="1142"/>
      <c r="K922" s="1142"/>
      <c r="L922" s="1142"/>
      <c r="M922" s="1142"/>
      <c r="R922" s="181"/>
      <c r="S922" s="181"/>
      <c r="T922" s="181"/>
      <c r="U922" s="181"/>
      <c r="V922" s="181"/>
    </row>
    <row r="923" spans="1:22" s="115" customFormat="1" ht="18" customHeight="1" x14ac:dyDescent="0.2">
      <c r="A923" s="110"/>
      <c r="B923" s="110"/>
      <c r="C923" s="937"/>
      <c r="D923" s="937"/>
      <c r="E923" s="111"/>
      <c r="F923" s="111"/>
      <c r="G923" s="111"/>
      <c r="H923" s="111"/>
      <c r="I923" s="111"/>
      <c r="J923" s="111"/>
      <c r="K923" s="112"/>
      <c r="L923" s="113"/>
      <c r="M923" s="114"/>
      <c r="P923" s="116"/>
      <c r="Q923" s="116"/>
      <c r="R923" s="117"/>
      <c r="S923" s="118"/>
      <c r="T923" s="118"/>
      <c r="U923" s="118"/>
      <c r="V923" s="118"/>
    </row>
    <row r="924" spans="1:22" s="115" customFormat="1" ht="18" customHeight="1" x14ac:dyDescent="0.3">
      <c r="A924" s="1119" t="s">
        <v>1549</v>
      </c>
      <c r="B924" s="1119"/>
      <c r="C924" s="1119"/>
      <c r="D924" s="1119"/>
      <c r="E924" s="1119"/>
      <c r="F924" s="1119"/>
      <c r="G924" s="1119"/>
      <c r="H924" s="1119"/>
      <c r="I924" s="1119"/>
      <c r="J924" s="1119"/>
      <c r="K924" s="1119"/>
      <c r="L924" s="1119"/>
      <c r="M924" s="1119"/>
      <c r="P924" s="116"/>
      <c r="Q924" s="116"/>
      <c r="R924" s="117"/>
      <c r="S924" s="118"/>
      <c r="T924" s="118"/>
      <c r="U924" s="118"/>
      <c r="V924" s="118"/>
    </row>
    <row r="925" spans="1:22" s="115" customFormat="1" ht="18" customHeight="1" x14ac:dyDescent="0.3">
      <c r="A925" s="1120" t="s">
        <v>364</v>
      </c>
      <c r="B925" s="1120"/>
      <c r="C925" s="1120"/>
      <c r="D925" s="1120"/>
      <c r="E925" s="1120"/>
      <c r="F925" s="1120"/>
      <c r="G925" s="1120"/>
      <c r="H925" s="1120"/>
      <c r="I925" s="1120"/>
      <c r="J925" s="1120"/>
      <c r="K925" s="1120"/>
      <c r="L925" s="1120"/>
      <c r="M925" s="1120"/>
      <c r="P925" s="116"/>
      <c r="Q925" s="116"/>
      <c r="R925" s="117"/>
      <c r="S925" s="118"/>
      <c r="T925" s="118"/>
      <c r="U925" s="118"/>
      <c r="V925" s="118"/>
    </row>
    <row r="926" spans="1:22" s="115" customFormat="1" ht="18" customHeight="1" x14ac:dyDescent="0.2">
      <c r="A926" s="1121"/>
      <c r="B926" s="1121"/>
      <c r="C926" s="1121"/>
      <c r="D926" s="1121"/>
      <c r="E926" s="1121"/>
      <c r="F926" s="1121"/>
      <c r="G926" s="1121"/>
      <c r="H926" s="1121"/>
      <c r="I926" s="1121"/>
      <c r="J926" s="1121"/>
      <c r="K926" s="1121"/>
      <c r="L926" s="1121"/>
      <c r="M926" s="1121"/>
      <c r="P926" s="116"/>
      <c r="Q926" s="116"/>
      <c r="R926" s="117"/>
      <c r="S926" s="118"/>
      <c r="T926" s="118"/>
      <c r="U926" s="118"/>
      <c r="V926" s="118"/>
    </row>
    <row r="927" spans="1:22" s="115" customFormat="1" ht="18" customHeight="1" x14ac:dyDescent="0.2">
      <c r="A927" s="930"/>
      <c r="B927" s="930"/>
      <c r="C927" s="930"/>
      <c r="D927" s="930"/>
      <c r="E927" s="930"/>
      <c r="F927" s="930"/>
      <c r="G927" s="930"/>
      <c r="H927" s="930"/>
      <c r="I927" s="930"/>
      <c r="J927" s="930"/>
      <c r="K927" s="930"/>
      <c r="L927" s="930"/>
      <c r="M927" s="930"/>
      <c r="P927" s="116"/>
      <c r="Q927" s="116"/>
      <c r="R927" s="117"/>
      <c r="S927" s="118"/>
      <c r="T927" s="118"/>
      <c r="U927" s="118"/>
      <c r="V927" s="118"/>
    </row>
    <row r="928" spans="1:22" s="115" customFormat="1" ht="18" customHeight="1" x14ac:dyDescent="0.2">
      <c r="A928" s="111" t="s">
        <v>457</v>
      </c>
      <c r="B928" s="111"/>
      <c r="C928" s="111" t="s">
        <v>455</v>
      </c>
      <c r="D928" s="111" t="s">
        <v>483</v>
      </c>
      <c r="E928" s="111"/>
      <c r="F928" s="111"/>
      <c r="G928" s="111"/>
      <c r="H928" s="111"/>
      <c r="I928" s="930"/>
      <c r="J928" s="930"/>
      <c r="K928" s="930"/>
      <c r="L928" s="930"/>
      <c r="M928" s="930"/>
      <c r="P928" s="116"/>
      <c r="Q928" s="116"/>
      <c r="R928" s="117"/>
      <c r="S928" s="118"/>
      <c r="T928" s="118"/>
      <c r="U928" s="118"/>
      <c r="V928" s="118"/>
    </row>
    <row r="929" spans="1:22" s="115" customFormat="1" ht="18" customHeight="1" x14ac:dyDescent="0.25">
      <c r="A929" s="111" t="s">
        <v>480</v>
      </c>
      <c r="B929" s="111"/>
      <c r="C929" s="111" t="s">
        <v>455</v>
      </c>
      <c r="D929" s="111" t="s">
        <v>481</v>
      </c>
      <c r="E929" s="111"/>
      <c r="F929" s="111"/>
      <c r="G929" s="111"/>
      <c r="H929" s="111"/>
      <c r="I929" s="930"/>
      <c r="J929" s="930"/>
      <c r="K929" s="930"/>
      <c r="L929" s="930"/>
      <c r="M929" s="930"/>
      <c r="N929" s="182"/>
      <c r="P929" s="116"/>
      <c r="Q929" s="116"/>
      <c r="R929" s="117"/>
      <c r="S929" s="118"/>
      <c r="T929" s="118"/>
      <c r="U929" s="118"/>
      <c r="V929" s="118"/>
    </row>
    <row r="930" spans="1:22" s="115" customFormat="1" ht="18" customHeight="1" thickBot="1" x14ac:dyDescent="0.3">
      <c r="A930" s="111" t="s">
        <v>462</v>
      </c>
      <c r="B930" s="111"/>
      <c r="C930" s="219" t="s">
        <v>455</v>
      </c>
      <c r="D930" s="111" t="s">
        <v>693</v>
      </c>
      <c r="E930" s="111"/>
      <c r="F930" s="111"/>
      <c r="G930" s="111"/>
      <c r="H930" s="111"/>
      <c r="I930" s="930"/>
      <c r="J930" s="930"/>
      <c r="K930" s="930"/>
      <c r="L930" s="930"/>
      <c r="M930" s="930"/>
      <c r="N930" s="182"/>
      <c r="P930" s="116"/>
      <c r="Q930" s="116"/>
      <c r="R930" s="117"/>
      <c r="S930" s="118"/>
      <c r="T930" s="118"/>
      <c r="U930" s="118"/>
      <c r="V930" s="118"/>
    </row>
    <row r="931" spans="1:22" s="115" customFormat="1" ht="18" customHeight="1" x14ac:dyDescent="0.25">
      <c r="A931" s="1122" t="s">
        <v>642</v>
      </c>
      <c r="B931" s="1123"/>
      <c r="C931" s="1123"/>
      <c r="D931" s="1123"/>
      <c r="E931" s="1124"/>
      <c r="F931" s="1123"/>
      <c r="G931" s="1125"/>
      <c r="H931" s="121"/>
      <c r="I931" s="1126" t="s">
        <v>646</v>
      </c>
      <c r="J931" s="1127"/>
      <c r="K931" s="1126" t="s">
        <v>646</v>
      </c>
      <c r="L931" s="1127"/>
      <c r="M931" s="122"/>
      <c r="N931" s="182"/>
      <c r="P931" s="116"/>
      <c r="Q931" s="116"/>
      <c r="R931" s="117"/>
      <c r="S931" s="118"/>
      <c r="T931" s="118"/>
      <c r="U931" s="118"/>
      <c r="V931" s="118"/>
    </row>
    <row r="932" spans="1:22" s="115" customFormat="1" ht="18" customHeight="1" x14ac:dyDescent="0.2">
      <c r="A932" s="123" t="s">
        <v>643</v>
      </c>
      <c r="B932" s="1133" t="s">
        <v>644</v>
      </c>
      <c r="C932" s="1134"/>
      <c r="D932" s="1135"/>
      <c r="E932" s="1136" t="s">
        <v>45</v>
      </c>
      <c r="F932" s="1137"/>
      <c r="G932" s="1138"/>
      <c r="H932" s="934" t="s">
        <v>46</v>
      </c>
      <c r="I932" s="1136" t="s">
        <v>1492</v>
      </c>
      <c r="J932" s="1138"/>
      <c r="K932" s="1137" t="s">
        <v>1550</v>
      </c>
      <c r="L932" s="1138"/>
      <c r="M932" s="124" t="s">
        <v>47</v>
      </c>
      <c r="P932" s="116"/>
      <c r="Q932" s="116"/>
      <c r="R932" s="117"/>
      <c r="S932" s="118"/>
      <c r="T932" s="118"/>
      <c r="U932" s="118"/>
      <c r="V932" s="118"/>
    </row>
    <row r="933" spans="1:22" s="115" customFormat="1" ht="18" customHeight="1" x14ac:dyDescent="0.2">
      <c r="A933" s="125"/>
      <c r="B933" s="934"/>
      <c r="C933" s="935"/>
      <c r="D933" s="935"/>
      <c r="E933" s="934"/>
      <c r="F933" s="935"/>
      <c r="G933" s="936"/>
      <c r="H933" s="934" t="s">
        <v>48</v>
      </c>
      <c r="I933" s="1139" t="s">
        <v>1551</v>
      </c>
      <c r="J933" s="1140"/>
      <c r="K933" s="1139"/>
      <c r="L933" s="1140"/>
      <c r="M933" s="124" t="s">
        <v>49</v>
      </c>
      <c r="P933" s="116"/>
      <c r="Q933" s="116"/>
      <c r="R933" s="117"/>
      <c r="S933" s="118"/>
      <c r="T933" s="118"/>
      <c r="U933" s="118"/>
      <c r="V933" s="118"/>
    </row>
    <row r="934" spans="1:22" s="115" customFormat="1" ht="18" customHeight="1" x14ac:dyDescent="0.2">
      <c r="A934" s="125"/>
      <c r="B934" s="934"/>
      <c r="C934" s="935"/>
      <c r="D934" s="935"/>
      <c r="E934" s="934"/>
      <c r="F934" s="935"/>
      <c r="G934" s="126"/>
      <c r="H934" s="127"/>
      <c r="I934" s="128" t="s">
        <v>645</v>
      </c>
      <c r="J934" s="129" t="s">
        <v>50</v>
      </c>
      <c r="K934" s="128" t="s">
        <v>645</v>
      </c>
      <c r="L934" s="129" t="s">
        <v>50</v>
      </c>
      <c r="M934" s="124"/>
      <c r="P934" s="116"/>
      <c r="Q934" s="116"/>
      <c r="R934" s="117"/>
      <c r="S934" s="118"/>
      <c r="T934" s="118"/>
      <c r="U934" s="118"/>
      <c r="V934" s="118"/>
    </row>
    <row r="935" spans="1:22" s="115" customFormat="1" ht="18" customHeight="1" thickBot="1" x14ac:dyDescent="0.25">
      <c r="A935" s="130"/>
      <c r="B935" s="1128"/>
      <c r="C935" s="1129"/>
      <c r="D935" s="1130"/>
      <c r="E935" s="1128"/>
      <c r="F935" s="1129"/>
      <c r="G935" s="1130"/>
      <c r="H935" s="131"/>
      <c r="I935" s="131"/>
      <c r="J935" s="131"/>
      <c r="K935" s="131"/>
      <c r="L935" s="131"/>
      <c r="M935" s="132"/>
      <c r="P935" s="116"/>
      <c r="Q935" s="116"/>
      <c r="R935" s="117"/>
      <c r="S935" s="118"/>
      <c r="T935" s="118"/>
      <c r="U935" s="118"/>
      <c r="V935" s="118"/>
    </row>
    <row r="936" spans="1:22" s="115" customFormat="1" ht="18" customHeight="1" x14ac:dyDescent="0.2">
      <c r="A936" s="183"/>
      <c r="B936" s="119"/>
      <c r="C936" s="119"/>
      <c r="D936" s="119"/>
      <c r="E936" s="133"/>
      <c r="F936" s="119"/>
      <c r="G936" s="134"/>
      <c r="H936" s="135"/>
      <c r="I936" s="184"/>
      <c r="J936" s="137"/>
      <c r="K936" s="184"/>
      <c r="L936" s="137"/>
      <c r="M936" s="137"/>
      <c r="P936" s="116"/>
      <c r="Q936" s="116"/>
      <c r="R936" s="117"/>
      <c r="S936" s="118"/>
      <c r="T936" s="118"/>
      <c r="U936" s="118"/>
      <c r="V936" s="118"/>
    </row>
    <row r="937" spans="1:22" s="148" customFormat="1" ht="18" customHeight="1" x14ac:dyDescent="0.25">
      <c r="A937" s="185"/>
      <c r="B937" s="140"/>
      <c r="C937" s="140"/>
      <c r="D937" s="140"/>
      <c r="E937" s="156"/>
      <c r="F937" s="140"/>
      <c r="G937" s="142"/>
      <c r="H937" s="143"/>
      <c r="I937" s="187"/>
      <c r="J937" s="145"/>
      <c r="K937" s="187"/>
      <c r="L937" s="145"/>
      <c r="M937" s="146"/>
      <c r="N937" s="115"/>
      <c r="O937" s="115"/>
      <c r="P937" s="116"/>
      <c r="Q937" s="116"/>
      <c r="R937" s="147"/>
    </row>
    <row r="938" spans="1:22" s="148" customFormat="1" ht="18" customHeight="1" x14ac:dyDescent="0.25">
      <c r="A938" s="185">
        <v>1</v>
      </c>
      <c r="B938" s="1143"/>
      <c r="C938" s="1144"/>
      <c r="D938" s="1145"/>
      <c r="E938" s="156" t="s">
        <v>138</v>
      </c>
      <c r="F938" s="140"/>
      <c r="G938" s="142"/>
      <c r="H938" s="143" t="s">
        <v>128</v>
      </c>
      <c r="I938" s="187" t="s">
        <v>441</v>
      </c>
      <c r="J938" s="145">
        <f>32431*12</f>
        <v>389172</v>
      </c>
      <c r="K938" s="187" t="s">
        <v>441</v>
      </c>
      <c r="L938" s="145">
        <v>407436</v>
      </c>
      <c r="M938" s="146">
        <f>L938-J938</f>
        <v>18264</v>
      </c>
      <c r="N938" s="115">
        <f>L938-J938</f>
        <v>18264</v>
      </c>
      <c r="O938" s="115">
        <f>N938-M938</f>
        <v>0</v>
      </c>
      <c r="P938" s="116">
        <v>29010</v>
      </c>
      <c r="Q938" s="116">
        <f>P938*12</f>
        <v>348120</v>
      </c>
      <c r="R938" s="147">
        <f>Q938-L938</f>
        <v>-59316</v>
      </c>
    </row>
    <row r="939" spans="1:22" s="148" customFormat="1" ht="18" customHeight="1" x14ac:dyDescent="0.25">
      <c r="A939" s="185"/>
      <c r="B939" s="140"/>
      <c r="C939" s="140"/>
      <c r="D939" s="140"/>
      <c r="E939" s="156"/>
      <c r="F939" s="140"/>
      <c r="G939" s="142"/>
      <c r="H939" s="143"/>
      <c r="I939" s="187"/>
      <c r="J939" s="151"/>
      <c r="K939" s="187"/>
      <c r="L939" s="151"/>
      <c r="M939" s="146"/>
      <c r="N939" s="115"/>
      <c r="O939" s="115"/>
      <c r="P939" s="116"/>
      <c r="Q939" s="116"/>
      <c r="R939" s="117"/>
    </row>
    <row r="940" spans="1:22" s="148" customFormat="1" ht="18" customHeight="1" x14ac:dyDescent="0.25">
      <c r="A940" s="185"/>
      <c r="B940" s="140"/>
      <c r="C940" s="140"/>
      <c r="D940" s="140"/>
      <c r="E940" s="156"/>
      <c r="F940" s="140"/>
      <c r="G940" s="142"/>
      <c r="H940" s="143"/>
      <c r="I940" s="187"/>
      <c r="J940" s="145"/>
      <c r="K940" s="187"/>
      <c r="L940" s="145"/>
      <c r="M940" s="146"/>
      <c r="N940" s="115"/>
      <c r="O940" s="115"/>
      <c r="P940" s="116"/>
      <c r="Q940" s="116"/>
      <c r="R940" s="117"/>
    </row>
    <row r="941" spans="1:22" s="148" customFormat="1" ht="18" customHeight="1" x14ac:dyDescent="0.25">
      <c r="A941" s="185">
        <v>2</v>
      </c>
      <c r="B941" s="140"/>
      <c r="C941" s="140"/>
      <c r="D941" s="140"/>
      <c r="E941" s="156" t="s">
        <v>127</v>
      </c>
      <c r="F941" s="140"/>
      <c r="G941" s="142"/>
      <c r="H941" s="143" t="s">
        <v>131</v>
      </c>
      <c r="I941" s="187" t="s">
        <v>1501</v>
      </c>
      <c r="J941" s="145">
        <f>27067*12</f>
        <v>324804</v>
      </c>
      <c r="K941" s="187" t="s">
        <v>1501</v>
      </c>
      <c r="L941" s="145">
        <v>343068</v>
      </c>
      <c r="M941" s="146">
        <f>L941-J941</f>
        <v>18264</v>
      </c>
      <c r="N941" s="115">
        <f>L941-J941</f>
        <v>18264</v>
      </c>
      <c r="O941" s="115">
        <f>N941-M941</f>
        <v>0</v>
      </c>
      <c r="P941" s="116">
        <v>24224</v>
      </c>
      <c r="Q941" s="116">
        <f>P941*12</f>
        <v>290688</v>
      </c>
      <c r="R941" s="147">
        <f>Q941-L941</f>
        <v>-52380</v>
      </c>
    </row>
    <row r="942" spans="1:22" s="148" customFormat="1" ht="18" customHeight="1" x14ac:dyDescent="0.25">
      <c r="A942" s="185"/>
      <c r="B942" s="140"/>
      <c r="C942" s="140"/>
      <c r="D942" s="140"/>
      <c r="E942" s="156"/>
      <c r="F942" s="140"/>
      <c r="G942" s="142"/>
      <c r="H942" s="143"/>
      <c r="I942" s="187"/>
      <c r="J942" s="151"/>
      <c r="K942" s="187"/>
      <c r="L942" s="151"/>
      <c r="M942" s="146"/>
      <c r="N942" s="115"/>
      <c r="O942" s="115"/>
      <c r="P942" s="116"/>
      <c r="Q942" s="116"/>
      <c r="R942" s="117"/>
    </row>
    <row r="943" spans="1:22" s="148" customFormat="1" ht="18" customHeight="1" x14ac:dyDescent="0.25">
      <c r="A943" s="185"/>
      <c r="B943" s="140"/>
      <c r="C943" s="140"/>
      <c r="D943" s="140"/>
      <c r="E943" s="156"/>
      <c r="F943" s="140"/>
      <c r="G943" s="142"/>
      <c r="H943" s="143"/>
      <c r="I943" s="187"/>
      <c r="J943" s="151"/>
      <c r="K943" s="187"/>
      <c r="L943" s="151"/>
      <c r="M943" s="146"/>
      <c r="N943" s="115"/>
      <c r="O943" s="115"/>
      <c r="P943" s="116"/>
      <c r="Q943" s="116"/>
      <c r="R943" s="117"/>
    </row>
    <row r="944" spans="1:22" s="148" customFormat="1" ht="18" customHeight="1" x14ac:dyDescent="0.25">
      <c r="A944" s="185">
        <v>3</v>
      </c>
      <c r="B944" s="140"/>
      <c r="C944" s="140"/>
      <c r="D944" s="140"/>
      <c r="E944" s="156" t="s">
        <v>130</v>
      </c>
      <c r="F944" s="140"/>
      <c r="G944" s="142"/>
      <c r="H944" s="143" t="s">
        <v>908</v>
      </c>
      <c r="I944" s="187" t="s">
        <v>67</v>
      </c>
      <c r="J944" s="145">
        <f>24391*12</f>
        <v>292692</v>
      </c>
      <c r="K944" s="187" t="s">
        <v>67</v>
      </c>
      <c r="L944" s="145">
        <v>311424</v>
      </c>
      <c r="M944" s="146">
        <f>L944-J944</f>
        <v>18732</v>
      </c>
      <c r="N944" s="115">
        <f>L944-J944</f>
        <v>18732</v>
      </c>
      <c r="O944" s="115">
        <f>N944-M944</f>
        <v>0</v>
      </c>
      <c r="P944" s="116">
        <v>22055</v>
      </c>
      <c r="Q944" s="116">
        <f>P944*12</f>
        <v>264660</v>
      </c>
      <c r="R944" s="147">
        <f>Q944-L944</f>
        <v>-46764</v>
      </c>
    </row>
    <row r="945" spans="1:18" s="148" customFormat="1" ht="18" customHeight="1" x14ac:dyDescent="0.25">
      <c r="A945" s="185"/>
      <c r="B945" s="140"/>
      <c r="C945" s="140"/>
      <c r="D945" s="140"/>
      <c r="E945" s="156"/>
      <c r="F945" s="140"/>
      <c r="G945" s="142"/>
      <c r="H945" s="143"/>
      <c r="I945" s="187"/>
      <c r="J945" s="145"/>
      <c r="K945" s="187"/>
      <c r="L945" s="145"/>
      <c r="M945" s="146"/>
      <c r="N945" s="115"/>
      <c r="O945" s="115"/>
      <c r="P945" s="116"/>
      <c r="Q945" s="116"/>
      <c r="R945" s="117"/>
    </row>
    <row r="946" spans="1:18" s="148" customFormat="1" ht="18" customHeight="1" x14ac:dyDescent="0.25">
      <c r="A946" s="185"/>
      <c r="B946" s="140"/>
      <c r="C946" s="140"/>
      <c r="D946" s="140"/>
      <c r="E946" s="156"/>
      <c r="F946" s="140"/>
      <c r="G946" s="142"/>
      <c r="H946" s="143"/>
      <c r="I946" s="188"/>
      <c r="J946" s="145"/>
      <c r="K946" s="188"/>
      <c r="L946" s="145"/>
      <c r="M946" s="146"/>
      <c r="N946" s="115"/>
      <c r="O946" s="115"/>
      <c r="P946" s="116"/>
      <c r="Q946" s="116"/>
      <c r="R946" s="117"/>
    </row>
    <row r="947" spans="1:18" s="148" customFormat="1" ht="18" customHeight="1" x14ac:dyDescent="0.25">
      <c r="A947" s="185">
        <v>4</v>
      </c>
      <c r="B947" s="140"/>
      <c r="C947" s="140"/>
      <c r="D947" s="140"/>
      <c r="E947" s="156" t="s">
        <v>130</v>
      </c>
      <c r="F947" s="140"/>
      <c r="G947" s="142"/>
      <c r="H947" s="143" t="s">
        <v>139</v>
      </c>
      <c r="I947" s="187" t="s">
        <v>67</v>
      </c>
      <c r="J947" s="145">
        <f>24391*12</f>
        <v>292692</v>
      </c>
      <c r="K947" s="187" t="s">
        <v>67</v>
      </c>
      <c r="L947" s="145">
        <v>311424</v>
      </c>
      <c r="M947" s="146">
        <f>L947-J947</f>
        <v>18732</v>
      </c>
      <c r="N947" s="115">
        <f>L947-J947</f>
        <v>18732</v>
      </c>
      <c r="O947" s="115">
        <f>N947-M947</f>
        <v>0</v>
      </c>
      <c r="P947" s="116">
        <v>21777</v>
      </c>
      <c r="Q947" s="116">
        <f>P947*12</f>
        <v>261324</v>
      </c>
      <c r="R947" s="147">
        <f>Q947-L947</f>
        <v>-50100</v>
      </c>
    </row>
    <row r="948" spans="1:18" s="148" customFormat="1" ht="18" customHeight="1" x14ac:dyDescent="0.25">
      <c r="A948" s="185"/>
      <c r="B948" s="140"/>
      <c r="C948" s="140"/>
      <c r="D948" s="140"/>
      <c r="E948" s="156"/>
      <c r="F948" s="140"/>
      <c r="G948" s="142"/>
      <c r="H948" s="143"/>
      <c r="I948" s="187"/>
      <c r="J948" s="145"/>
      <c r="K948" s="187"/>
      <c r="L948" s="145"/>
      <c r="M948" s="146"/>
      <c r="N948" s="115"/>
      <c r="O948" s="115"/>
      <c r="P948" s="116"/>
      <c r="Q948" s="116"/>
      <c r="R948" s="117"/>
    </row>
    <row r="949" spans="1:18" s="148" customFormat="1" ht="18" customHeight="1" x14ac:dyDescent="0.25">
      <c r="A949" s="185"/>
      <c r="B949" s="140"/>
      <c r="C949" s="140"/>
      <c r="D949" s="140"/>
      <c r="E949" s="156"/>
      <c r="F949" s="140"/>
      <c r="G949" s="142"/>
      <c r="H949" s="143"/>
      <c r="I949" s="187"/>
      <c r="J949" s="151"/>
      <c r="K949" s="187"/>
      <c r="L949" s="151"/>
      <c r="M949" s="146"/>
      <c r="N949" s="115"/>
      <c r="O949" s="115"/>
      <c r="P949" s="116"/>
      <c r="Q949" s="116"/>
      <c r="R949" s="117"/>
    </row>
    <row r="950" spans="1:18" s="148" customFormat="1" ht="18" customHeight="1" x14ac:dyDescent="0.25">
      <c r="A950" s="185">
        <v>5</v>
      </c>
      <c r="B950" s="140"/>
      <c r="C950" s="140"/>
      <c r="D950" s="140"/>
      <c r="E950" s="156" t="s">
        <v>130</v>
      </c>
      <c r="F950" s="140"/>
      <c r="G950" s="142"/>
      <c r="H950" s="143" t="s">
        <v>909</v>
      </c>
      <c r="I950" s="187" t="s">
        <v>137</v>
      </c>
      <c r="J950" s="145">
        <f>22600*12</f>
        <v>271200</v>
      </c>
      <c r="K950" s="187" t="s">
        <v>137</v>
      </c>
      <c r="L950" s="145">
        <v>289932</v>
      </c>
      <c r="M950" s="146">
        <f>L950-J950</f>
        <v>18732</v>
      </c>
      <c r="N950" s="115">
        <f>L950-J950</f>
        <v>18732</v>
      </c>
      <c r="O950" s="115">
        <f>N950-M950</f>
        <v>0</v>
      </c>
      <c r="P950" s="116">
        <v>20179</v>
      </c>
      <c r="Q950" s="116">
        <f>P950*12</f>
        <v>242148</v>
      </c>
      <c r="R950" s="147">
        <f>Q950-L950</f>
        <v>-47784</v>
      </c>
    </row>
    <row r="951" spans="1:18" s="148" customFormat="1" ht="18" customHeight="1" x14ac:dyDescent="0.25">
      <c r="A951" s="185"/>
      <c r="B951" s="140"/>
      <c r="C951" s="140"/>
      <c r="D951" s="140"/>
      <c r="E951" s="156"/>
      <c r="F951" s="140"/>
      <c r="G951" s="142"/>
      <c r="H951" s="143"/>
      <c r="I951" s="187"/>
      <c r="J951" s="151"/>
      <c r="K951" s="187"/>
      <c r="L951" s="151"/>
      <c r="M951" s="146"/>
      <c r="N951" s="115"/>
      <c r="O951" s="115"/>
      <c r="P951" s="116"/>
      <c r="Q951" s="116"/>
      <c r="R951" s="147"/>
    </row>
    <row r="952" spans="1:18" s="148" customFormat="1" ht="18" customHeight="1" x14ac:dyDescent="0.25">
      <c r="A952" s="185"/>
      <c r="B952" s="140"/>
      <c r="C952" s="140"/>
      <c r="D952" s="140"/>
      <c r="E952" s="156"/>
      <c r="F952" s="140"/>
      <c r="G952" s="142"/>
      <c r="H952" s="143"/>
      <c r="I952" s="187"/>
      <c r="J952" s="145"/>
      <c r="K952" s="187"/>
      <c r="L952" s="145"/>
      <c r="M952" s="146"/>
      <c r="N952" s="115"/>
      <c r="O952" s="115"/>
      <c r="P952" s="116"/>
      <c r="Q952" s="116"/>
      <c r="R952" s="117"/>
    </row>
    <row r="953" spans="1:18" s="148" customFormat="1" ht="18" customHeight="1" x14ac:dyDescent="0.25">
      <c r="A953" s="185">
        <v>6</v>
      </c>
      <c r="B953" s="140"/>
      <c r="C953" s="140"/>
      <c r="D953" s="140"/>
      <c r="E953" s="156" t="s">
        <v>133</v>
      </c>
      <c r="F953" s="140"/>
      <c r="G953" s="142"/>
      <c r="H953" s="143" t="s">
        <v>269</v>
      </c>
      <c r="I953" s="187" t="s">
        <v>1500</v>
      </c>
      <c r="J953" s="145">
        <f>12369*12</f>
        <v>148428</v>
      </c>
      <c r="K953" s="187" t="s">
        <v>1500</v>
      </c>
      <c r="L953" s="145">
        <v>154656</v>
      </c>
      <c r="M953" s="146">
        <f>L953-J953</f>
        <v>6228</v>
      </c>
      <c r="N953" s="115">
        <f>L953-J953</f>
        <v>6228</v>
      </c>
      <c r="O953" s="115">
        <f>N953-M953</f>
        <v>0</v>
      </c>
      <c r="P953" s="116">
        <v>11200</v>
      </c>
      <c r="Q953" s="116">
        <f>P953*12</f>
        <v>134400</v>
      </c>
      <c r="R953" s="147">
        <f>Q953-L953</f>
        <v>-20256</v>
      </c>
    </row>
    <row r="954" spans="1:18" s="148" customFormat="1" ht="18" customHeight="1" x14ac:dyDescent="0.25">
      <c r="A954" s="185"/>
      <c r="B954" s="140"/>
      <c r="C954" s="140"/>
      <c r="D954" s="140"/>
      <c r="E954" s="139"/>
      <c r="F954" s="140"/>
      <c r="G954" s="142"/>
      <c r="H954" s="143"/>
      <c r="I954" s="188"/>
      <c r="J954" s="151"/>
      <c r="K954" s="188"/>
      <c r="L954" s="151"/>
      <c r="M954" s="146"/>
      <c r="N954" s="115"/>
      <c r="O954" s="115"/>
      <c r="P954" s="116"/>
      <c r="Q954" s="116"/>
      <c r="R954" s="117"/>
    </row>
    <row r="955" spans="1:18" s="148" customFormat="1" ht="18" customHeight="1" x14ac:dyDescent="0.25">
      <c r="A955" s="185"/>
      <c r="B955" s="140"/>
      <c r="C955" s="140"/>
      <c r="D955" s="140"/>
      <c r="E955" s="139"/>
      <c r="F955" s="140"/>
      <c r="G955" s="142"/>
      <c r="H955" s="143"/>
      <c r="I955" s="144"/>
      <c r="J955" s="145"/>
      <c r="K955" s="144"/>
      <c r="L955" s="145"/>
      <c r="M955" s="145"/>
      <c r="N955" s="115"/>
      <c r="O955" s="115"/>
      <c r="P955" s="116"/>
      <c r="Q955" s="116"/>
      <c r="R955" s="117"/>
    </row>
    <row r="956" spans="1:18" s="148" customFormat="1" ht="18" customHeight="1" x14ac:dyDescent="0.25">
      <c r="A956" s="185"/>
      <c r="B956" s="140"/>
      <c r="C956" s="140"/>
      <c r="D956" s="140"/>
      <c r="E956" s="139"/>
      <c r="F956" s="140"/>
      <c r="G956" s="142"/>
      <c r="H956" s="143"/>
      <c r="I956" s="144"/>
      <c r="J956" s="145"/>
      <c r="K956" s="144"/>
      <c r="L956" s="145"/>
      <c r="M956" s="145"/>
      <c r="N956" s="115"/>
      <c r="O956" s="115"/>
      <c r="P956" s="116"/>
      <c r="Q956" s="116"/>
      <c r="R956" s="117"/>
    </row>
    <row r="957" spans="1:18" s="148" customFormat="1" ht="18" customHeight="1" x14ac:dyDescent="0.25">
      <c r="A957" s="185"/>
      <c r="B957" s="140"/>
      <c r="C957" s="140"/>
      <c r="D957" s="140"/>
      <c r="E957" s="139"/>
      <c r="F957" s="140"/>
      <c r="G957" s="142"/>
      <c r="H957" s="143"/>
      <c r="I957" s="144"/>
      <c r="J957" s="145"/>
      <c r="K957" s="144"/>
      <c r="L957" s="145"/>
      <c r="M957" s="145"/>
      <c r="N957" s="115"/>
      <c r="O957" s="115"/>
      <c r="P957" s="116"/>
      <c r="Q957" s="116"/>
      <c r="R957" s="117"/>
    </row>
    <row r="958" spans="1:18" s="148" customFormat="1" ht="18" customHeight="1" x14ac:dyDescent="0.25">
      <c r="A958" s="185"/>
      <c r="B958" s="140"/>
      <c r="C958" s="140"/>
      <c r="D958" s="140"/>
      <c r="E958" s="139"/>
      <c r="F958" s="140"/>
      <c r="G958" s="142"/>
      <c r="H958" s="143"/>
      <c r="I958" s="144"/>
      <c r="J958" s="145"/>
      <c r="K958" s="144"/>
      <c r="L958" s="145"/>
      <c r="M958" s="145"/>
      <c r="N958" s="115"/>
      <c r="O958" s="115"/>
      <c r="P958" s="116"/>
      <c r="Q958" s="116"/>
      <c r="R958" s="117"/>
    </row>
    <row r="959" spans="1:18" s="148" customFormat="1" ht="18" customHeight="1" x14ac:dyDescent="0.25">
      <c r="A959" s="185"/>
      <c r="B959" s="140"/>
      <c r="C959" s="140"/>
      <c r="D959" s="140"/>
      <c r="E959" s="139"/>
      <c r="F959" s="140"/>
      <c r="G959" s="142"/>
      <c r="H959" s="143"/>
      <c r="I959" s="144"/>
      <c r="J959" s="145"/>
      <c r="K959" s="144"/>
      <c r="L959" s="145"/>
      <c r="M959" s="145"/>
      <c r="N959" s="115"/>
      <c r="O959" s="115"/>
      <c r="P959" s="116"/>
      <c r="Q959" s="116"/>
      <c r="R959" s="117"/>
    </row>
    <row r="960" spans="1:18" s="148" customFormat="1" ht="18" customHeight="1" x14ac:dyDescent="0.25">
      <c r="A960" s="185"/>
      <c r="B960" s="140"/>
      <c r="C960" s="140"/>
      <c r="D960" s="140"/>
      <c r="E960" s="139"/>
      <c r="F960" s="140"/>
      <c r="G960" s="142"/>
      <c r="H960" s="143"/>
      <c r="I960" s="144"/>
      <c r="J960" s="145"/>
      <c r="K960" s="144"/>
      <c r="L960" s="145"/>
      <c r="M960" s="145"/>
      <c r="N960" s="115"/>
      <c r="O960" s="115"/>
      <c r="P960" s="116"/>
      <c r="Q960" s="116"/>
      <c r="R960" s="117"/>
    </row>
    <row r="961" spans="1:18" s="148" customFormat="1" ht="18" customHeight="1" x14ac:dyDescent="0.25">
      <c r="A961" s="185"/>
      <c r="B961" s="140"/>
      <c r="C961" s="140"/>
      <c r="D961" s="140"/>
      <c r="E961" s="139"/>
      <c r="F961" s="140"/>
      <c r="G961" s="142"/>
      <c r="H961" s="143"/>
      <c r="I961" s="144"/>
      <c r="J961" s="145"/>
      <c r="K961" s="144"/>
      <c r="L961" s="145"/>
      <c r="M961" s="145"/>
      <c r="N961" s="115"/>
      <c r="O961" s="115"/>
      <c r="P961" s="116"/>
      <c r="Q961" s="116"/>
      <c r="R961" s="117"/>
    </row>
    <row r="962" spans="1:18" s="148" customFormat="1" ht="18" customHeight="1" x14ac:dyDescent="0.25">
      <c r="A962" s="185"/>
      <c r="B962" s="140"/>
      <c r="C962" s="140"/>
      <c r="D962" s="140"/>
      <c r="E962" s="139"/>
      <c r="F962" s="140"/>
      <c r="G962" s="142"/>
      <c r="H962" s="143"/>
      <c r="I962" s="144"/>
      <c r="J962" s="145"/>
      <c r="K962" s="144"/>
      <c r="L962" s="145"/>
      <c r="M962" s="145"/>
      <c r="N962" s="115"/>
      <c r="O962" s="115"/>
      <c r="P962" s="116"/>
      <c r="Q962" s="116"/>
      <c r="R962" s="117"/>
    </row>
    <row r="963" spans="1:18" s="148" customFormat="1" ht="18" customHeight="1" x14ac:dyDescent="0.25">
      <c r="A963" s="185"/>
      <c r="B963" s="140"/>
      <c r="C963" s="140"/>
      <c r="D963" s="140"/>
      <c r="E963" s="139"/>
      <c r="F963" s="140"/>
      <c r="G963" s="142"/>
      <c r="H963" s="143"/>
      <c r="I963" s="144"/>
      <c r="J963" s="145"/>
      <c r="K963" s="144"/>
      <c r="L963" s="145"/>
      <c r="M963" s="145"/>
      <c r="N963" s="115"/>
      <c r="O963" s="115"/>
      <c r="P963" s="116"/>
      <c r="Q963" s="116"/>
      <c r="R963" s="117"/>
    </row>
    <row r="964" spans="1:18" s="148" customFormat="1" ht="18" customHeight="1" x14ac:dyDescent="0.25">
      <c r="A964" s="185"/>
      <c r="B964" s="140"/>
      <c r="C964" s="140"/>
      <c r="D964" s="140"/>
      <c r="E964" s="139"/>
      <c r="F964" s="140"/>
      <c r="G964" s="142"/>
      <c r="H964" s="143"/>
      <c r="I964" s="144"/>
      <c r="J964" s="145"/>
      <c r="K964" s="144"/>
      <c r="L964" s="145"/>
      <c r="M964" s="145"/>
      <c r="N964" s="115"/>
      <c r="O964" s="115"/>
      <c r="P964" s="116"/>
      <c r="Q964" s="116"/>
      <c r="R964" s="117"/>
    </row>
    <row r="965" spans="1:18" s="148" customFormat="1" ht="18" customHeight="1" x14ac:dyDescent="0.25">
      <c r="A965" s="185"/>
      <c r="B965" s="140"/>
      <c r="C965" s="140"/>
      <c r="D965" s="140"/>
      <c r="E965" s="139"/>
      <c r="F965" s="140"/>
      <c r="G965" s="142"/>
      <c r="H965" s="143"/>
      <c r="I965" s="144"/>
      <c r="J965" s="145"/>
      <c r="K965" s="144"/>
      <c r="L965" s="145"/>
      <c r="M965" s="145"/>
      <c r="N965" s="115"/>
      <c r="O965" s="115"/>
      <c r="P965" s="116"/>
      <c r="Q965" s="116"/>
      <c r="R965" s="117"/>
    </row>
    <row r="966" spans="1:18" s="148" customFormat="1" ht="18" customHeight="1" x14ac:dyDescent="0.25">
      <c r="A966" s="143"/>
      <c r="B966" s="157"/>
      <c r="C966" s="140"/>
      <c r="D966" s="140"/>
      <c r="E966" s="156"/>
      <c r="F966" s="157"/>
      <c r="G966" s="142"/>
      <c r="H966" s="143"/>
      <c r="I966" s="213"/>
      <c r="J966" s="145"/>
      <c r="K966" s="213"/>
      <c r="L966" s="145"/>
      <c r="M966" s="145"/>
      <c r="N966" s="115"/>
      <c r="O966" s="115"/>
      <c r="P966" s="116"/>
      <c r="Q966" s="116"/>
      <c r="R966" s="117"/>
    </row>
    <row r="967" spans="1:18" s="148" customFormat="1" ht="18" customHeight="1" x14ac:dyDescent="0.25">
      <c r="A967" s="143"/>
      <c r="B967" s="157"/>
      <c r="C967" s="140"/>
      <c r="D967" s="140"/>
      <c r="E967" s="156"/>
      <c r="F967" s="157"/>
      <c r="G967" s="142"/>
      <c r="H967" s="143"/>
      <c r="I967" s="213"/>
      <c r="J967" s="145"/>
      <c r="K967" s="213"/>
      <c r="L967" s="145"/>
      <c r="M967" s="145"/>
      <c r="N967" s="115"/>
      <c r="O967" s="115"/>
      <c r="P967" s="116"/>
      <c r="Q967" s="116"/>
      <c r="R967" s="117"/>
    </row>
    <row r="968" spans="1:18" s="148" customFormat="1" ht="18" customHeight="1" x14ac:dyDescent="0.25">
      <c r="A968" s="143"/>
      <c r="B968" s="157"/>
      <c r="C968" s="140"/>
      <c r="D968" s="140"/>
      <c r="E968" s="156"/>
      <c r="F968" s="157"/>
      <c r="G968" s="142"/>
      <c r="H968" s="143"/>
      <c r="I968" s="213"/>
      <c r="J968" s="145"/>
      <c r="K968" s="213"/>
      <c r="L968" s="145"/>
      <c r="M968" s="145"/>
      <c r="N968" s="115"/>
      <c r="O968" s="115"/>
      <c r="P968" s="116"/>
      <c r="Q968" s="116"/>
      <c r="R968" s="117"/>
    </row>
    <row r="969" spans="1:18" s="148" customFormat="1" ht="18" customHeight="1" x14ac:dyDescent="0.25">
      <c r="A969" s="143"/>
      <c r="B969" s="157"/>
      <c r="C969" s="140"/>
      <c r="D969" s="140"/>
      <c r="E969" s="156"/>
      <c r="F969" s="157"/>
      <c r="G969" s="142"/>
      <c r="H969" s="143"/>
      <c r="I969" s="213"/>
      <c r="J969" s="145"/>
      <c r="K969" s="213"/>
      <c r="L969" s="145"/>
      <c r="M969" s="145"/>
      <c r="N969" s="115"/>
      <c r="O969" s="115"/>
      <c r="P969" s="116"/>
      <c r="Q969" s="116"/>
      <c r="R969" s="117"/>
    </row>
    <row r="970" spans="1:18" s="148" customFormat="1" ht="18" customHeight="1" x14ac:dyDescent="0.25">
      <c r="A970" s="143"/>
      <c r="B970" s="157"/>
      <c r="C970" s="140"/>
      <c r="D970" s="140"/>
      <c r="E970" s="156"/>
      <c r="F970" s="157"/>
      <c r="G970" s="142"/>
      <c r="H970" s="143"/>
      <c r="I970" s="213"/>
      <c r="J970" s="145"/>
      <c r="K970" s="213"/>
      <c r="L970" s="145"/>
      <c r="M970" s="145"/>
      <c r="N970" s="115"/>
      <c r="O970" s="115"/>
      <c r="P970" s="116"/>
      <c r="Q970" s="116"/>
      <c r="R970" s="117"/>
    </row>
    <row r="971" spans="1:18" s="148" customFormat="1" ht="18" customHeight="1" x14ac:dyDescent="0.25">
      <c r="A971" s="143"/>
      <c r="B971" s="157"/>
      <c r="C971" s="140"/>
      <c r="D971" s="140"/>
      <c r="E971" s="156"/>
      <c r="F971" s="157"/>
      <c r="G971" s="142"/>
      <c r="H971" s="143"/>
      <c r="I971" s="213"/>
      <c r="J971" s="145"/>
      <c r="K971" s="213"/>
      <c r="L971" s="145"/>
      <c r="M971" s="145"/>
      <c r="N971" s="115"/>
      <c r="O971" s="115"/>
      <c r="P971" s="116"/>
      <c r="Q971" s="116"/>
      <c r="R971" s="117"/>
    </row>
    <row r="972" spans="1:18" s="148" customFormat="1" ht="18" customHeight="1" x14ac:dyDescent="0.25">
      <c r="A972" s="143"/>
      <c r="B972" s="157"/>
      <c r="C972" s="140"/>
      <c r="D972" s="140"/>
      <c r="E972" s="156"/>
      <c r="F972" s="157"/>
      <c r="G972" s="142"/>
      <c r="H972" s="143"/>
      <c r="I972" s="213"/>
      <c r="J972" s="145"/>
      <c r="K972" s="213"/>
      <c r="L972" s="145"/>
      <c r="M972" s="145"/>
      <c r="N972" s="115"/>
      <c r="O972" s="115"/>
      <c r="P972" s="116"/>
      <c r="Q972" s="116"/>
      <c r="R972" s="117"/>
    </row>
    <row r="973" spans="1:18" s="148" customFormat="1" ht="18" customHeight="1" x14ac:dyDescent="0.25">
      <c r="A973" s="143"/>
      <c r="B973" s="157"/>
      <c r="C973" s="140"/>
      <c r="D973" s="140"/>
      <c r="E973" s="156"/>
      <c r="F973" s="157"/>
      <c r="G973" s="142"/>
      <c r="H973" s="143"/>
      <c r="I973" s="213"/>
      <c r="J973" s="145"/>
      <c r="K973" s="213"/>
      <c r="L973" s="145"/>
      <c r="M973" s="145"/>
      <c r="N973" s="115"/>
      <c r="O973" s="115"/>
      <c r="P973" s="116"/>
      <c r="Q973" s="116"/>
      <c r="R973" s="117"/>
    </row>
    <row r="974" spans="1:18" s="170" customFormat="1" ht="18" customHeight="1" thickBot="1" x14ac:dyDescent="0.3">
      <c r="A974" s="164"/>
      <c r="B974" s="161"/>
      <c r="C974" s="160"/>
      <c r="D974" s="160"/>
      <c r="E974" s="159"/>
      <c r="F974" s="161"/>
      <c r="G974" s="162"/>
      <c r="H974" s="163" t="s">
        <v>15</v>
      </c>
      <c r="I974" s="165"/>
      <c r="J974" s="165">
        <f>SUM(J937:J973)</f>
        <v>1718988</v>
      </c>
      <c r="K974" s="165"/>
      <c r="L974" s="165">
        <f>SUM(L937:L973)</f>
        <v>1817940</v>
      </c>
      <c r="M974" s="165">
        <f>SUM(M937:M973)</f>
        <v>98952</v>
      </c>
      <c r="N974" s="167"/>
      <c r="O974" s="167"/>
      <c r="P974" s="168"/>
      <c r="Q974" s="168"/>
      <c r="R974" s="169"/>
    </row>
    <row r="975" spans="1:18" s="148" customFormat="1" ht="18" customHeight="1" thickTop="1" x14ac:dyDescent="0.25">
      <c r="A975" s="192"/>
      <c r="B975" s="192"/>
      <c r="C975" s="191"/>
      <c r="D975" s="191"/>
      <c r="E975" s="192"/>
      <c r="F975" s="192"/>
      <c r="G975" s="192"/>
      <c r="H975" s="191"/>
      <c r="I975" s="192"/>
      <c r="J975" s="171"/>
      <c r="K975" s="231"/>
      <c r="L975" s="173"/>
      <c r="M975" s="173"/>
      <c r="N975" s="115"/>
      <c r="O975" s="115"/>
      <c r="P975" s="116"/>
      <c r="Q975" s="116"/>
      <c r="R975" s="117"/>
    </row>
    <row r="976" spans="1:18" s="148" customFormat="1" ht="18" customHeight="1" x14ac:dyDescent="0.25">
      <c r="A976" s="157"/>
      <c r="B976" s="157"/>
      <c r="C976" s="140"/>
      <c r="D976" s="140"/>
      <c r="E976" s="157"/>
      <c r="F976" s="157"/>
      <c r="G976" s="157"/>
      <c r="H976" s="157"/>
      <c r="I976" s="157"/>
      <c r="J976" s="157"/>
      <c r="K976" s="174"/>
      <c r="L976" s="172"/>
      <c r="M976" s="172"/>
      <c r="N976" s="115"/>
      <c r="O976" s="115"/>
      <c r="P976" s="116"/>
      <c r="Q976" s="116"/>
      <c r="R976" s="117"/>
    </row>
    <row r="977" spans="1:22" s="148" customFormat="1" ht="18" customHeight="1" x14ac:dyDescent="0.25">
      <c r="A977" s="157"/>
      <c r="B977" s="157"/>
      <c r="C977" s="140"/>
      <c r="D977" s="140"/>
      <c r="E977" s="157"/>
      <c r="F977" s="157"/>
      <c r="G977" s="157"/>
      <c r="H977" s="157"/>
      <c r="I977" s="157"/>
      <c r="J977" s="157"/>
      <c r="K977" s="174"/>
      <c r="L977" s="172"/>
      <c r="M977" s="172"/>
      <c r="N977" s="115"/>
      <c r="O977" s="115"/>
      <c r="P977" s="116"/>
      <c r="Q977" s="116"/>
      <c r="R977" s="117"/>
    </row>
    <row r="978" spans="1:22" s="148" customFormat="1" ht="18" customHeight="1" x14ac:dyDescent="0.25">
      <c r="A978" s="175" t="s">
        <v>636</v>
      </c>
      <c r="B978" s="175"/>
      <c r="C978" s="932"/>
      <c r="D978" s="932"/>
      <c r="E978" s="176"/>
      <c r="F978" s="176"/>
      <c r="G978" s="176"/>
      <c r="H978" s="175" t="s">
        <v>637</v>
      </c>
      <c r="I978" s="176"/>
      <c r="K978" s="175" t="s">
        <v>264</v>
      </c>
      <c r="L978" s="177"/>
      <c r="M978" s="177"/>
      <c r="N978" s="115"/>
      <c r="O978" s="115"/>
      <c r="P978" s="116"/>
      <c r="Q978" s="116"/>
      <c r="R978" s="117"/>
    </row>
    <row r="979" spans="1:22" s="148" customFormat="1" ht="18" customHeight="1" x14ac:dyDescent="0.25">
      <c r="A979" s="176"/>
      <c r="B979" s="176"/>
      <c r="C979" s="933"/>
      <c r="D979" s="933"/>
      <c r="E979" s="176"/>
      <c r="F979" s="176"/>
      <c r="G979" s="176"/>
      <c r="H979" s="176"/>
      <c r="I979" s="176"/>
      <c r="J979" s="176"/>
      <c r="K979" s="178"/>
      <c r="L979" s="177"/>
      <c r="M979" s="177"/>
      <c r="N979" s="115"/>
      <c r="O979" s="115"/>
      <c r="P979" s="116"/>
      <c r="Q979" s="116"/>
      <c r="R979" s="117"/>
    </row>
    <row r="980" spans="1:22" s="148" customFormat="1" ht="18" customHeight="1" x14ac:dyDescent="0.25">
      <c r="A980" s="1131" t="s">
        <v>66</v>
      </c>
      <c r="B980" s="1131"/>
      <c r="C980" s="1131"/>
      <c r="D980" s="1131"/>
      <c r="E980" s="1131"/>
      <c r="F980" s="1131"/>
      <c r="G980" s="176"/>
      <c r="H980" s="1131" t="s">
        <v>17</v>
      </c>
      <c r="I980" s="1131"/>
      <c r="J980" s="176"/>
      <c r="K980" s="1131" t="s">
        <v>1493</v>
      </c>
      <c r="L980" s="1131"/>
      <c r="M980" s="1131"/>
      <c r="N980" s="115"/>
      <c r="O980" s="115"/>
      <c r="P980" s="116"/>
      <c r="Q980" s="116"/>
      <c r="R980" s="117"/>
    </row>
    <row r="981" spans="1:22" s="148" customFormat="1" ht="18" customHeight="1" x14ac:dyDescent="0.25">
      <c r="A981" s="1132" t="s">
        <v>437</v>
      </c>
      <c r="B981" s="1132"/>
      <c r="C981" s="1132"/>
      <c r="D981" s="1132"/>
      <c r="E981" s="1132"/>
      <c r="F981" s="1132"/>
      <c r="G981" s="179"/>
      <c r="H981" s="1132" t="s">
        <v>18</v>
      </c>
      <c r="I981" s="1132"/>
      <c r="J981" s="932"/>
      <c r="K981" s="1132" t="s">
        <v>14</v>
      </c>
      <c r="L981" s="1132"/>
      <c r="M981" s="1132"/>
      <c r="N981" s="115"/>
      <c r="O981" s="115"/>
      <c r="P981" s="116"/>
      <c r="Q981" s="116"/>
      <c r="R981" s="117"/>
    </row>
    <row r="982" spans="1:22" ht="18" customHeight="1" x14ac:dyDescent="0.2">
      <c r="A982" s="111"/>
      <c r="B982" s="111"/>
      <c r="C982" s="930"/>
      <c r="D982" s="930"/>
      <c r="E982" s="1121"/>
      <c r="F982" s="1121"/>
      <c r="G982" s="1121"/>
      <c r="H982" s="930"/>
      <c r="I982" s="930"/>
      <c r="J982" s="930"/>
      <c r="K982" s="1121"/>
      <c r="L982" s="1121"/>
      <c r="M982" s="1121"/>
    </row>
    <row r="983" spans="1:22" ht="18" customHeight="1" x14ac:dyDescent="0.2">
      <c r="A983" s="111"/>
      <c r="B983" s="111"/>
      <c r="C983" s="930"/>
      <c r="D983" s="930"/>
      <c r="E983" s="930"/>
      <c r="F983" s="930"/>
      <c r="G983" s="930"/>
      <c r="H983" s="930"/>
      <c r="I983" s="930"/>
      <c r="J983" s="930"/>
      <c r="K983" s="930"/>
      <c r="L983" s="930"/>
      <c r="M983" s="930"/>
    </row>
    <row r="984" spans="1:22" ht="18" customHeight="1" x14ac:dyDescent="0.2">
      <c r="A984" s="111"/>
      <c r="B984" s="111"/>
      <c r="C984" s="930"/>
      <c r="D984" s="930"/>
      <c r="E984" s="930"/>
      <c r="F984" s="930"/>
      <c r="G984" s="930"/>
      <c r="H984" s="930"/>
      <c r="I984" s="930"/>
      <c r="J984" s="930"/>
      <c r="K984" s="930"/>
      <c r="L984" s="930"/>
      <c r="M984" s="930"/>
    </row>
    <row r="985" spans="1:22" s="115" customFormat="1" ht="18" customHeight="1" x14ac:dyDescent="0.2">
      <c r="A985" s="111"/>
      <c r="B985" s="111"/>
      <c r="C985" s="930"/>
      <c r="D985" s="930"/>
      <c r="E985" s="930"/>
      <c r="F985" s="930"/>
      <c r="G985" s="930"/>
      <c r="H985" s="930"/>
      <c r="I985" s="930"/>
      <c r="J985" s="930"/>
      <c r="K985" s="930"/>
      <c r="L985" s="930"/>
      <c r="M985" s="930"/>
      <c r="P985" s="116"/>
      <c r="Q985" s="116"/>
      <c r="R985" s="117"/>
      <c r="S985" s="118"/>
      <c r="T985" s="118"/>
      <c r="U985" s="118"/>
      <c r="V985" s="118"/>
    </row>
    <row r="986" spans="1:22" s="115" customFormat="1" ht="18" customHeight="1" x14ac:dyDescent="0.2">
      <c r="A986" s="111"/>
      <c r="B986" s="111"/>
      <c r="C986" s="930"/>
      <c r="D986" s="930"/>
      <c r="E986" s="930"/>
      <c r="F986" s="930"/>
      <c r="G986" s="930"/>
      <c r="H986" s="930"/>
      <c r="I986" s="930"/>
      <c r="J986" s="930"/>
      <c r="K986" s="930"/>
      <c r="L986" s="930"/>
      <c r="M986" s="930"/>
      <c r="P986" s="116"/>
      <c r="Q986" s="116"/>
      <c r="R986" s="117"/>
      <c r="S986" s="118"/>
      <c r="T986" s="118"/>
      <c r="U986" s="118"/>
      <c r="V986" s="118"/>
    </row>
    <row r="987" spans="1:22" s="115" customFormat="1" ht="18" customHeight="1" x14ac:dyDescent="0.2">
      <c r="A987" s="111"/>
      <c r="B987" s="111"/>
      <c r="C987" s="930"/>
      <c r="D987" s="930"/>
      <c r="E987" s="930"/>
      <c r="F987" s="930"/>
      <c r="G987" s="930"/>
      <c r="H987" s="930"/>
      <c r="I987" s="930"/>
      <c r="J987" s="930"/>
      <c r="K987" s="930"/>
      <c r="L987" s="930"/>
      <c r="M987" s="930"/>
      <c r="P987" s="116"/>
      <c r="Q987" s="116"/>
      <c r="R987" s="117"/>
      <c r="S987" s="118"/>
      <c r="T987" s="118"/>
      <c r="U987" s="118"/>
      <c r="V987" s="118"/>
    </row>
    <row r="988" spans="1:22" s="115" customFormat="1" ht="18" customHeight="1" x14ac:dyDescent="0.2">
      <c r="A988" s="111"/>
      <c r="B988" s="111"/>
      <c r="C988" s="930"/>
      <c r="D988" s="930"/>
      <c r="E988" s="930"/>
      <c r="F988" s="930"/>
      <c r="G988" s="930"/>
      <c r="H988" s="930"/>
      <c r="I988" s="930"/>
      <c r="J988" s="930"/>
      <c r="K988" s="930"/>
      <c r="L988" s="930"/>
      <c r="M988" s="930"/>
      <c r="P988" s="116"/>
      <c r="Q988" s="116"/>
      <c r="R988" s="117"/>
      <c r="S988" s="118"/>
      <c r="T988" s="118"/>
      <c r="U988" s="118"/>
      <c r="V988" s="118"/>
    </row>
    <row r="989" spans="1:22" s="115" customFormat="1" ht="18" customHeight="1" x14ac:dyDescent="0.2">
      <c r="A989" s="111"/>
      <c r="B989" s="111"/>
      <c r="C989" s="930"/>
      <c r="D989" s="930"/>
      <c r="E989" s="930"/>
      <c r="F989" s="930"/>
      <c r="G989" s="930"/>
      <c r="H989" s="930"/>
      <c r="I989" s="930"/>
      <c r="J989" s="930"/>
      <c r="K989" s="930"/>
      <c r="L989" s="930"/>
      <c r="M989" s="930"/>
      <c r="P989" s="116"/>
      <c r="Q989" s="116"/>
      <c r="R989" s="117"/>
      <c r="S989" s="118"/>
      <c r="T989" s="118"/>
      <c r="U989" s="118"/>
      <c r="V989" s="118"/>
    </row>
    <row r="990" spans="1:22" s="115" customFormat="1" ht="18" customHeight="1" x14ac:dyDescent="0.2">
      <c r="A990" s="111"/>
      <c r="B990" s="111"/>
      <c r="C990" s="930"/>
      <c r="D990" s="930"/>
      <c r="E990" s="930"/>
      <c r="F990" s="930"/>
      <c r="G990" s="930"/>
      <c r="H990" s="930"/>
      <c r="I990" s="930"/>
      <c r="J990" s="930"/>
      <c r="K990" s="930"/>
      <c r="L990" s="930"/>
      <c r="M990" s="930"/>
      <c r="P990" s="116"/>
      <c r="Q990" s="116"/>
      <c r="R990" s="117"/>
      <c r="S990" s="118"/>
      <c r="T990" s="118"/>
      <c r="U990" s="118"/>
      <c r="V990" s="118"/>
    </row>
    <row r="991" spans="1:22" s="115" customFormat="1" ht="18" customHeight="1" x14ac:dyDescent="0.2">
      <c r="A991" s="111"/>
      <c r="B991" s="111"/>
      <c r="C991" s="930"/>
      <c r="D991" s="930"/>
      <c r="E991" s="111"/>
      <c r="F991" s="111"/>
      <c r="G991" s="111"/>
      <c r="H991" s="111"/>
      <c r="I991" s="111"/>
      <c r="J991" s="111"/>
      <c r="K991" s="112"/>
      <c r="L991" s="113"/>
      <c r="M991" s="113"/>
      <c r="P991" s="116"/>
      <c r="Q991" s="116"/>
      <c r="R991" s="117"/>
      <c r="S991" s="118"/>
      <c r="T991" s="118"/>
      <c r="U991" s="118"/>
      <c r="V991" s="118"/>
    </row>
    <row r="992" spans="1:22" s="115" customFormat="1" ht="20.100000000000001" customHeight="1" x14ac:dyDescent="0.35">
      <c r="A992" s="1142" t="s">
        <v>1013</v>
      </c>
      <c r="B992" s="1142"/>
      <c r="C992" s="1142"/>
      <c r="D992" s="1142"/>
      <c r="E992" s="1142"/>
      <c r="F992" s="1142"/>
      <c r="G992" s="1142"/>
      <c r="H992" s="1142"/>
      <c r="I992" s="1142"/>
      <c r="J992" s="1142"/>
      <c r="K992" s="1142"/>
      <c r="L992" s="1142"/>
      <c r="M992" s="1142"/>
      <c r="P992" s="116"/>
      <c r="Q992" s="116"/>
      <c r="R992" s="117"/>
      <c r="S992" s="118"/>
      <c r="T992" s="118"/>
      <c r="U992" s="118"/>
      <c r="V992" s="118"/>
    </row>
    <row r="993" spans="1:22" s="115" customFormat="1" ht="18" customHeight="1" x14ac:dyDescent="0.2">
      <c r="A993" s="110"/>
      <c r="B993" s="110"/>
      <c r="C993" s="937"/>
      <c r="D993" s="937"/>
      <c r="E993" s="111"/>
      <c r="F993" s="111"/>
      <c r="G993" s="111"/>
      <c r="H993" s="111"/>
      <c r="I993" s="111"/>
      <c r="J993" s="111"/>
      <c r="K993" s="112"/>
      <c r="L993" s="113"/>
      <c r="M993" s="114"/>
      <c r="P993" s="116"/>
      <c r="Q993" s="116"/>
      <c r="R993" s="117"/>
      <c r="S993" s="118"/>
      <c r="T993" s="118"/>
      <c r="U993" s="118"/>
      <c r="V993" s="118"/>
    </row>
    <row r="994" spans="1:22" s="115" customFormat="1" ht="18" customHeight="1" x14ac:dyDescent="0.3">
      <c r="A994" s="1119" t="s">
        <v>1549</v>
      </c>
      <c r="B994" s="1119"/>
      <c r="C994" s="1119"/>
      <c r="D994" s="1119"/>
      <c r="E994" s="1119"/>
      <c r="F994" s="1119"/>
      <c r="G994" s="1119"/>
      <c r="H994" s="1119"/>
      <c r="I994" s="1119"/>
      <c r="J994" s="1119"/>
      <c r="K994" s="1119"/>
      <c r="L994" s="1119"/>
      <c r="M994" s="1119"/>
      <c r="P994" s="116"/>
      <c r="Q994" s="116"/>
      <c r="R994" s="117"/>
      <c r="S994" s="118"/>
      <c r="T994" s="118"/>
      <c r="U994" s="118"/>
      <c r="V994" s="118"/>
    </row>
    <row r="995" spans="1:22" s="115" customFormat="1" ht="18" customHeight="1" x14ac:dyDescent="0.3">
      <c r="A995" s="1120" t="s">
        <v>364</v>
      </c>
      <c r="B995" s="1120"/>
      <c r="C995" s="1120"/>
      <c r="D995" s="1120"/>
      <c r="E995" s="1120"/>
      <c r="F995" s="1120"/>
      <c r="G995" s="1120"/>
      <c r="H995" s="1120"/>
      <c r="I995" s="1120"/>
      <c r="J995" s="1120"/>
      <c r="K995" s="1120"/>
      <c r="L995" s="1120"/>
      <c r="M995" s="1120"/>
      <c r="P995" s="116"/>
      <c r="Q995" s="116"/>
      <c r="R995" s="117"/>
      <c r="S995" s="118"/>
      <c r="T995" s="118"/>
      <c r="U995" s="118"/>
      <c r="V995" s="118"/>
    </row>
    <row r="996" spans="1:22" s="115" customFormat="1" ht="18" customHeight="1" x14ac:dyDescent="0.2">
      <c r="A996" s="1121"/>
      <c r="B996" s="1121"/>
      <c r="C996" s="1121"/>
      <c r="D996" s="1121"/>
      <c r="E996" s="1121"/>
      <c r="F996" s="1121"/>
      <c r="G996" s="1121"/>
      <c r="H996" s="1121"/>
      <c r="I996" s="1121"/>
      <c r="J996" s="1121"/>
      <c r="K996" s="1121"/>
      <c r="L996" s="1121"/>
      <c r="M996" s="1121"/>
      <c r="P996" s="116"/>
      <c r="Q996" s="116"/>
      <c r="R996" s="117"/>
      <c r="S996" s="118"/>
      <c r="T996" s="118"/>
      <c r="U996" s="118"/>
      <c r="V996" s="118"/>
    </row>
    <row r="997" spans="1:22" s="115" customFormat="1" ht="18" customHeight="1" x14ac:dyDescent="0.2">
      <c r="A997" s="930"/>
      <c r="B997" s="930"/>
      <c r="C997" s="930"/>
      <c r="D997" s="930"/>
      <c r="E997" s="930"/>
      <c r="F997" s="930"/>
      <c r="G997" s="930"/>
      <c r="H997" s="930"/>
      <c r="I997" s="930"/>
      <c r="J997" s="930"/>
      <c r="K997" s="930"/>
      <c r="L997" s="930"/>
      <c r="M997" s="930"/>
      <c r="P997" s="116"/>
      <c r="Q997" s="116"/>
      <c r="R997" s="117"/>
      <c r="S997" s="118"/>
      <c r="T997" s="118"/>
      <c r="U997" s="118"/>
      <c r="V997" s="118"/>
    </row>
    <row r="998" spans="1:22" s="115" customFormat="1" ht="18" customHeight="1" x14ac:dyDescent="0.2">
      <c r="A998" s="111" t="s">
        <v>470</v>
      </c>
      <c r="B998" s="111"/>
      <c r="C998" s="111" t="s">
        <v>455</v>
      </c>
      <c r="D998" s="111" t="s">
        <v>484</v>
      </c>
      <c r="E998" s="111"/>
      <c r="F998" s="111"/>
      <c r="G998" s="111"/>
      <c r="H998" s="111"/>
      <c r="I998" s="112"/>
      <c r="J998" s="930"/>
      <c r="K998" s="930"/>
      <c r="L998" s="930"/>
      <c r="M998" s="930"/>
      <c r="P998" s="116"/>
      <c r="Q998" s="116"/>
      <c r="R998" s="117"/>
      <c r="S998" s="118"/>
      <c r="T998" s="118"/>
      <c r="U998" s="118"/>
      <c r="V998" s="118"/>
    </row>
    <row r="999" spans="1:22" s="115" customFormat="1" ht="18" customHeight="1" x14ac:dyDescent="0.25">
      <c r="A999" s="111" t="s">
        <v>458</v>
      </c>
      <c r="B999" s="111"/>
      <c r="C999" s="111" t="s">
        <v>455</v>
      </c>
      <c r="D999" s="111" t="s">
        <v>485</v>
      </c>
      <c r="E999" s="111"/>
      <c r="F999" s="111"/>
      <c r="G999" s="111"/>
      <c r="H999" s="111"/>
      <c r="I999" s="112"/>
      <c r="J999" s="930"/>
      <c r="K999" s="930"/>
      <c r="L999" s="930"/>
      <c r="M999" s="930"/>
      <c r="N999" s="182"/>
      <c r="P999" s="116"/>
      <c r="Q999" s="116"/>
      <c r="R999" s="117"/>
      <c r="S999" s="118"/>
      <c r="T999" s="118"/>
      <c r="U999" s="118"/>
      <c r="V999" s="118"/>
    </row>
    <row r="1000" spans="1:22" s="115" customFormat="1" ht="18" customHeight="1" thickBot="1" x14ac:dyDescent="0.3">
      <c r="A1000" s="111" t="s">
        <v>459</v>
      </c>
      <c r="B1000" s="111"/>
      <c r="C1000" s="111" t="s">
        <v>455</v>
      </c>
      <c r="D1000" s="111" t="s">
        <v>694</v>
      </c>
      <c r="E1000" s="111"/>
      <c r="F1000" s="111"/>
      <c r="G1000" s="111"/>
      <c r="H1000" s="111"/>
      <c r="I1000" s="112"/>
      <c r="J1000" s="930"/>
      <c r="K1000" s="930"/>
      <c r="L1000" s="930"/>
      <c r="M1000" s="930"/>
      <c r="N1000" s="182"/>
      <c r="P1000" s="116"/>
      <c r="Q1000" s="116"/>
      <c r="R1000" s="117"/>
      <c r="S1000" s="118"/>
      <c r="T1000" s="118"/>
      <c r="U1000" s="118"/>
      <c r="V1000" s="118"/>
    </row>
    <row r="1001" spans="1:22" ht="18" customHeight="1" x14ac:dyDescent="0.25">
      <c r="A1001" s="1122" t="s">
        <v>642</v>
      </c>
      <c r="B1001" s="1123"/>
      <c r="C1001" s="1123"/>
      <c r="D1001" s="1123"/>
      <c r="E1001" s="1124"/>
      <c r="F1001" s="1123"/>
      <c r="G1001" s="1125"/>
      <c r="H1001" s="121"/>
      <c r="I1001" s="1126" t="s">
        <v>646</v>
      </c>
      <c r="J1001" s="1127"/>
      <c r="K1001" s="1126" t="s">
        <v>646</v>
      </c>
      <c r="L1001" s="1127"/>
      <c r="M1001" s="122"/>
      <c r="N1001" s="182"/>
    </row>
    <row r="1002" spans="1:22" ht="18" customHeight="1" x14ac:dyDescent="0.2">
      <c r="A1002" s="123" t="s">
        <v>643</v>
      </c>
      <c r="B1002" s="1133" t="s">
        <v>644</v>
      </c>
      <c r="C1002" s="1134"/>
      <c r="D1002" s="1135"/>
      <c r="E1002" s="1136" t="s">
        <v>45</v>
      </c>
      <c r="F1002" s="1137"/>
      <c r="G1002" s="1138"/>
      <c r="H1002" s="934" t="s">
        <v>46</v>
      </c>
      <c r="I1002" s="1136" t="s">
        <v>1492</v>
      </c>
      <c r="J1002" s="1138"/>
      <c r="K1002" s="1137" t="s">
        <v>1550</v>
      </c>
      <c r="L1002" s="1138"/>
      <c r="M1002" s="124" t="s">
        <v>47</v>
      </c>
    </row>
    <row r="1003" spans="1:22" ht="18" customHeight="1" x14ac:dyDescent="0.2">
      <c r="A1003" s="125"/>
      <c r="B1003" s="934"/>
      <c r="C1003" s="935"/>
      <c r="D1003" s="935"/>
      <c r="E1003" s="934"/>
      <c r="F1003" s="935"/>
      <c r="G1003" s="936"/>
      <c r="H1003" s="934" t="s">
        <v>48</v>
      </c>
      <c r="I1003" s="1139" t="s">
        <v>1551</v>
      </c>
      <c r="J1003" s="1140"/>
      <c r="K1003" s="1139"/>
      <c r="L1003" s="1140"/>
      <c r="M1003" s="124" t="s">
        <v>49</v>
      </c>
    </row>
    <row r="1004" spans="1:22" ht="18" customHeight="1" x14ac:dyDescent="0.2">
      <c r="A1004" s="125"/>
      <c r="B1004" s="934"/>
      <c r="C1004" s="935"/>
      <c r="D1004" s="935"/>
      <c r="E1004" s="934"/>
      <c r="F1004" s="935"/>
      <c r="G1004" s="126"/>
      <c r="H1004" s="127"/>
      <c r="I1004" s="128" t="s">
        <v>645</v>
      </c>
      <c r="J1004" s="129" t="s">
        <v>50</v>
      </c>
      <c r="K1004" s="128" t="s">
        <v>645</v>
      </c>
      <c r="L1004" s="129" t="s">
        <v>50</v>
      </c>
      <c r="M1004" s="124"/>
    </row>
    <row r="1005" spans="1:22" ht="18" customHeight="1" thickBot="1" x14ac:dyDescent="0.25">
      <c r="A1005" s="130"/>
      <c r="B1005" s="1128"/>
      <c r="C1005" s="1129"/>
      <c r="D1005" s="1130"/>
      <c r="E1005" s="1128"/>
      <c r="F1005" s="1129"/>
      <c r="G1005" s="1130"/>
      <c r="H1005" s="131"/>
      <c r="I1005" s="131"/>
      <c r="J1005" s="131"/>
      <c r="K1005" s="131"/>
      <c r="L1005" s="131"/>
      <c r="M1005" s="132"/>
    </row>
    <row r="1006" spans="1:22" ht="18" customHeight="1" x14ac:dyDescent="0.2">
      <c r="A1006" s="183"/>
      <c r="B1006" s="119"/>
      <c r="C1006" s="119"/>
      <c r="D1006" s="119"/>
      <c r="E1006" s="133"/>
      <c r="F1006" s="119"/>
      <c r="G1006" s="220"/>
      <c r="H1006" s="183"/>
      <c r="I1006" s="183"/>
      <c r="J1006" s="183"/>
      <c r="K1006" s="183"/>
      <c r="L1006" s="183"/>
      <c r="M1006" s="183"/>
    </row>
    <row r="1007" spans="1:22" ht="18" customHeight="1" x14ac:dyDescent="0.25">
      <c r="A1007" s="185">
        <v>1</v>
      </c>
      <c r="B1007" s="140"/>
      <c r="C1007" s="140"/>
      <c r="D1007" s="140"/>
      <c r="E1007" s="156" t="s">
        <v>163</v>
      </c>
      <c r="F1007" s="140"/>
      <c r="G1007" s="142"/>
      <c r="H1007" s="143" t="s">
        <v>164</v>
      </c>
      <c r="I1007" s="187" t="s">
        <v>912</v>
      </c>
      <c r="J1007" s="145">
        <f>37134*12</f>
        <v>445608</v>
      </c>
      <c r="K1007" s="187" t="s">
        <v>912</v>
      </c>
      <c r="L1007" s="145">
        <v>461136</v>
      </c>
      <c r="M1007" s="146">
        <f>L1007-J1007</f>
        <v>15528</v>
      </c>
      <c r="N1007" s="115">
        <f>L1007-J1007</f>
        <v>15528</v>
      </c>
      <c r="O1007" s="115">
        <f>N1007-M1007</f>
        <v>0</v>
      </c>
      <c r="P1007" s="116">
        <v>33156</v>
      </c>
      <c r="Q1007" s="116">
        <f>P1007*12</f>
        <v>397872</v>
      </c>
      <c r="R1007" s="147">
        <f>Q1007-L1007</f>
        <v>-63264</v>
      </c>
    </row>
    <row r="1008" spans="1:22" ht="18" customHeight="1" x14ac:dyDescent="0.25">
      <c r="A1008" s="185"/>
      <c r="B1008" s="140"/>
      <c r="C1008" s="140"/>
      <c r="D1008" s="140"/>
      <c r="E1008" s="156"/>
      <c r="F1008" s="140"/>
      <c r="G1008" s="142"/>
      <c r="H1008" s="143"/>
      <c r="I1008" s="187"/>
      <c r="J1008" s="145"/>
      <c r="K1008" s="187" t="s">
        <v>1560</v>
      </c>
      <c r="L1008" s="145">
        <v>466464</v>
      </c>
      <c r="M1008" s="146">
        <v>3552</v>
      </c>
      <c r="R1008" s="147"/>
    </row>
    <row r="1009" spans="1:18" ht="18" customHeight="1" x14ac:dyDescent="0.25">
      <c r="A1009" s="185"/>
      <c r="B1009" s="140"/>
      <c r="C1009" s="140"/>
      <c r="D1009" s="140"/>
      <c r="E1009" s="156"/>
      <c r="F1009" s="140"/>
      <c r="G1009" s="142"/>
      <c r="H1009" s="143"/>
      <c r="I1009" s="187"/>
      <c r="J1009" s="145"/>
      <c r="K1009" s="187"/>
      <c r="L1009" s="151">
        <v>44320</v>
      </c>
      <c r="M1009" s="146"/>
      <c r="P1009" s="116">
        <v>33555</v>
      </c>
      <c r="Q1009" s="116">
        <f>P1009*12</f>
        <v>402660</v>
      </c>
      <c r="R1009" s="147">
        <f>Q1009-L1009</f>
        <v>358340</v>
      </c>
    </row>
    <row r="1010" spans="1:18" ht="18" customHeight="1" x14ac:dyDescent="0.25">
      <c r="A1010" s="185"/>
      <c r="B1010" s="140"/>
      <c r="C1010" s="140"/>
      <c r="D1010" s="140"/>
      <c r="E1010" s="156"/>
      <c r="F1010" s="140"/>
      <c r="G1010" s="142"/>
      <c r="H1010" s="143"/>
      <c r="I1010" s="187"/>
      <c r="J1010" s="145"/>
      <c r="K1010" s="187"/>
      <c r="L1010" s="151"/>
      <c r="M1010" s="146"/>
      <c r="R1010" s="147"/>
    </row>
    <row r="1011" spans="1:18" s="148" customFormat="1" ht="18" customHeight="1" x14ac:dyDescent="0.25">
      <c r="A1011" s="185">
        <v>2</v>
      </c>
      <c r="B1011" s="140"/>
      <c r="C1011" s="140"/>
      <c r="D1011" s="140"/>
      <c r="E1011" s="156" t="s">
        <v>143</v>
      </c>
      <c r="F1011" s="140"/>
      <c r="G1011" s="142"/>
      <c r="H1011" s="143" t="s">
        <v>102</v>
      </c>
      <c r="I1011" s="187" t="s">
        <v>965</v>
      </c>
      <c r="J1011" s="145">
        <f>17474*12</f>
        <v>209688</v>
      </c>
      <c r="K1011" s="187" t="s">
        <v>965</v>
      </c>
      <c r="L1011" s="145">
        <v>219924</v>
      </c>
      <c r="M1011" s="146">
        <f>L1011-J1011</f>
        <v>10236</v>
      </c>
      <c r="N1011" s="115">
        <f>L1011-J1011</f>
        <v>10236</v>
      </c>
      <c r="O1011" s="115">
        <f>N1011-M1011</f>
        <v>0</v>
      </c>
      <c r="P1011" s="116">
        <v>16051</v>
      </c>
      <c r="Q1011" s="116">
        <f>P1011*12</f>
        <v>192612</v>
      </c>
      <c r="R1011" s="147">
        <f>Q1011-L1011</f>
        <v>-27312</v>
      </c>
    </row>
    <row r="1012" spans="1:18" s="148" customFormat="1" ht="18" customHeight="1" x14ac:dyDescent="0.25">
      <c r="A1012" s="185"/>
      <c r="B1012" s="140"/>
      <c r="C1012" s="140"/>
      <c r="D1012" s="140"/>
      <c r="E1012" s="156"/>
      <c r="F1012" s="140"/>
      <c r="G1012" s="142"/>
      <c r="H1012" s="143"/>
      <c r="I1012" s="187"/>
      <c r="J1012" s="145"/>
      <c r="K1012" s="187"/>
      <c r="L1012" s="145"/>
      <c r="M1012" s="146"/>
      <c r="N1012" s="115"/>
      <c r="O1012" s="115"/>
      <c r="P1012" s="116"/>
      <c r="Q1012" s="116"/>
      <c r="R1012" s="117"/>
    </row>
    <row r="1013" spans="1:18" s="148" customFormat="1" ht="18" customHeight="1" x14ac:dyDescent="0.25">
      <c r="A1013" s="185">
        <v>3</v>
      </c>
      <c r="B1013" s="140"/>
      <c r="C1013" s="140"/>
      <c r="D1013" s="140"/>
      <c r="E1013" s="156" t="s">
        <v>145</v>
      </c>
      <c r="F1013" s="140"/>
      <c r="G1013" s="142"/>
      <c r="H1013" s="143" t="s">
        <v>146</v>
      </c>
      <c r="I1013" s="187" t="s">
        <v>92</v>
      </c>
      <c r="J1013" s="145">
        <f>15847*12</f>
        <v>190164</v>
      </c>
      <c r="K1013" s="187" t="s">
        <v>92</v>
      </c>
      <c r="L1013" s="145">
        <v>198264</v>
      </c>
      <c r="M1013" s="146">
        <f>L1013-J1013</f>
        <v>8100</v>
      </c>
      <c r="N1013" s="115">
        <f>L1013-J1013</f>
        <v>8100</v>
      </c>
      <c r="O1013" s="115">
        <f>N1013-M1013</f>
        <v>0</v>
      </c>
      <c r="P1013" s="116">
        <v>14628</v>
      </c>
      <c r="Q1013" s="116">
        <f>P1013*12</f>
        <v>175536</v>
      </c>
      <c r="R1013" s="147">
        <f>Q1013-L1013</f>
        <v>-22728</v>
      </c>
    </row>
    <row r="1014" spans="1:18" s="148" customFormat="1" ht="18" customHeight="1" x14ac:dyDescent="0.25">
      <c r="A1014" s="185"/>
      <c r="B1014" s="140"/>
      <c r="C1014" s="140"/>
      <c r="D1014" s="140"/>
      <c r="E1014" s="156"/>
      <c r="F1014" s="140"/>
      <c r="G1014" s="142"/>
      <c r="H1014" s="143"/>
      <c r="I1014" s="187"/>
      <c r="J1014" s="145"/>
      <c r="K1014" s="187"/>
      <c r="L1014" s="145"/>
      <c r="M1014" s="146"/>
      <c r="N1014" s="115"/>
      <c r="O1014" s="115"/>
      <c r="P1014" s="116"/>
      <c r="Q1014" s="116"/>
      <c r="R1014" s="117"/>
    </row>
    <row r="1015" spans="1:18" s="148" customFormat="1" ht="18" customHeight="1" x14ac:dyDescent="0.25">
      <c r="A1015" s="185">
        <v>4</v>
      </c>
      <c r="B1015" s="140"/>
      <c r="C1015" s="140"/>
      <c r="D1015" s="140"/>
      <c r="E1015" s="156" t="s">
        <v>145</v>
      </c>
      <c r="F1015" s="140"/>
      <c r="G1015" s="142"/>
      <c r="H1015" s="143" t="s">
        <v>105</v>
      </c>
      <c r="I1015" s="187" t="s">
        <v>397</v>
      </c>
      <c r="J1015" s="145">
        <f>15014*12</f>
        <v>180168</v>
      </c>
      <c r="K1015" s="187" t="s">
        <v>397</v>
      </c>
      <c r="L1015" s="145">
        <v>187848</v>
      </c>
      <c r="M1015" s="146">
        <f>L1015-J1015</f>
        <v>7680</v>
      </c>
      <c r="N1015" s="115">
        <f>L1015-J1015</f>
        <v>7680</v>
      </c>
      <c r="O1015" s="115">
        <f>N1015-M1015</f>
        <v>0</v>
      </c>
      <c r="P1015" s="116">
        <v>13840</v>
      </c>
      <c r="Q1015" s="116">
        <f>P1015*12</f>
        <v>166080</v>
      </c>
      <c r="R1015" s="147">
        <f>Q1015-L1015</f>
        <v>-21768</v>
      </c>
    </row>
    <row r="1016" spans="1:18" s="148" customFormat="1" ht="18" customHeight="1" x14ac:dyDescent="0.25">
      <c r="A1016" s="185"/>
      <c r="B1016" s="140"/>
      <c r="C1016" s="140"/>
      <c r="D1016" s="140"/>
      <c r="E1016" s="156"/>
      <c r="F1016" s="140"/>
      <c r="G1016" s="142"/>
      <c r="H1016" s="143"/>
      <c r="I1016" s="187"/>
      <c r="J1016" s="145"/>
      <c r="K1016" s="187"/>
      <c r="L1016" s="145"/>
      <c r="M1016" s="146"/>
      <c r="N1016" s="115"/>
      <c r="O1016" s="115"/>
      <c r="P1016" s="116"/>
      <c r="Q1016" s="116"/>
      <c r="R1016" s="117"/>
    </row>
    <row r="1017" spans="1:18" s="148" customFormat="1" ht="18" customHeight="1" x14ac:dyDescent="0.25">
      <c r="A1017" s="185">
        <v>5</v>
      </c>
      <c r="B1017" s="140"/>
      <c r="C1017" s="140"/>
      <c r="D1017" s="140"/>
      <c r="E1017" s="156" t="s">
        <v>147</v>
      </c>
      <c r="F1017" s="140"/>
      <c r="G1017" s="142"/>
      <c r="H1017" s="143" t="s">
        <v>289</v>
      </c>
      <c r="I1017" s="187" t="s">
        <v>446</v>
      </c>
      <c r="J1017" s="145">
        <f>13297*12</f>
        <v>159564</v>
      </c>
      <c r="K1017" s="187" t="s">
        <v>446</v>
      </c>
      <c r="L1017" s="145">
        <v>166512</v>
      </c>
      <c r="M1017" s="146">
        <f>L1017-J1017</f>
        <v>6948</v>
      </c>
      <c r="N1017" s="115">
        <f>L1017-J1017</f>
        <v>6948</v>
      </c>
      <c r="O1017" s="115">
        <f>N1017-M1017</f>
        <v>0</v>
      </c>
      <c r="P1017" s="116">
        <v>12189</v>
      </c>
      <c r="Q1017" s="116">
        <f>P1017*12</f>
        <v>146268</v>
      </c>
      <c r="R1017" s="147">
        <f>Q1017-L1017</f>
        <v>-20244</v>
      </c>
    </row>
    <row r="1018" spans="1:18" s="148" customFormat="1" ht="18" customHeight="1" x14ac:dyDescent="0.25">
      <c r="A1018" s="185"/>
      <c r="B1018" s="140"/>
      <c r="C1018" s="140"/>
      <c r="D1018" s="140"/>
      <c r="E1018" s="156"/>
      <c r="F1018" s="140"/>
      <c r="G1018" s="142"/>
      <c r="H1018" s="143"/>
      <c r="I1018" s="187"/>
      <c r="J1018" s="145"/>
      <c r="K1018" s="187"/>
      <c r="L1018" s="145"/>
      <c r="M1018" s="146"/>
      <c r="N1018" s="115"/>
      <c r="O1018" s="115"/>
      <c r="P1018" s="116"/>
      <c r="Q1018" s="116"/>
      <c r="R1018" s="147"/>
    </row>
    <row r="1019" spans="1:18" s="148" customFormat="1" ht="18" customHeight="1" x14ac:dyDescent="0.25">
      <c r="A1019" s="185">
        <v>6</v>
      </c>
      <c r="B1019" s="140"/>
      <c r="C1019" s="140"/>
      <c r="D1019" s="140"/>
      <c r="E1019" s="156" t="s">
        <v>148</v>
      </c>
      <c r="F1019" s="140"/>
      <c r="G1019" s="142"/>
      <c r="H1019" s="237" t="s">
        <v>987</v>
      </c>
      <c r="I1019" s="187" t="s">
        <v>249</v>
      </c>
      <c r="J1019" s="145">
        <f>13195*12</f>
        <v>158340</v>
      </c>
      <c r="K1019" s="187" t="s">
        <v>249</v>
      </c>
      <c r="L1019" s="145">
        <v>165240</v>
      </c>
      <c r="M1019" s="146">
        <f>L1019-J1019</f>
        <v>6900</v>
      </c>
      <c r="N1019" s="115">
        <f>L1019-J1019</f>
        <v>6900</v>
      </c>
      <c r="O1019" s="115">
        <f>N1019-M1019</f>
        <v>0</v>
      </c>
      <c r="P1019" s="116">
        <v>12494</v>
      </c>
      <c r="Q1019" s="116">
        <f>P1019*12</f>
        <v>149928</v>
      </c>
      <c r="R1019" s="147">
        <f>Q1019-L1019</f>
        <v>-15312</v>
      </c>
    </row>
    <row r="1020" spans="1:18" s="148" customFormat="1" ht="18" customHeight="1" x14ac:dyDescent="0.25">
      <c r="A1020" s="185"/>
      <c r="B1020" s="140"/>
      <c r="C1020" s="140"/>
      <c r="D1020" s="140"/>
      <c r="E1020" s="156"/>
      <c r="F1020" s="140"/>
      <c r="G1020" s="142"/>
      <c r="H1020" s="237"/>
      <c r="I1020" s="187"/>
      <c r="J1020" s="145"/>
      <c r="K1020" s="187" t="s">
        <v>446</v>
      </c>
      <c r="L1020" s="145">
        <v>166512</v>
      </c>
      <c r="M1020" s="146">
        <v>1272</v>
      </c>
      <c r="N1020" s="115"/>
      <c r="O1020" s="115"/>
      <c r="P1020" s="116"/>
      <c r="Q1020" s="116"/>
      <c r="R1020" s="147"/>
    </row>
    <row r="1021" spans="1:18" s="148" customFormat="1" ht="18" customHeight="1" x14ac:dyDescent="0.25">
      <c r="A1021" s="185"/>
      <c r="B1021" s="140"/>
      <c r="C1021" s="140"/>
      <c r="D1021" s="140"/>
      <c r="E1021" s="156"/>
      <c r="F1021" s="140"/>
      <c r="G1021" s="142"/>
      <c r="H1021" s="143"/>
      <c r="I1021" s="187"/>
      <c r="J1021" s="145"/>
      <c r="K1021" s="187"/>
      <c r="L1021" s="151">
        <v>44397</v>
      </c>
      <c r="M1021" s="146"/>
      <c r="N1021" s="115"/>
      <c r="O1021" s="115"/>
      <c r="P1021" s="116">
        <v>12597</v>
      </c>
      <c r="Q1021" s="116">
        <f>P1021*12</f>
        <v>151164</v>
      </c>
      <c r="R1021" s="147">
        <f>Q1021-L1021</f>
        <v>106767</v>
      </c>
    </row>
    <row r="1022" spans="1:18" s="148" customFormat="1" ht="18" customHeight="1" x14ac:dyDescent="0.25">
      <c r="A1022" s="185"/>
      <c r="B1022" s="140"/>
      <c r="C1022" s="140"/>
      <c r="D1022" s="140"/>
      <c r="E1022" s="156"/>
      <c r="F1022" s="140"/>
      <c r="G1022" s="142"/>
      <c r="H1022" s="143"/>
      <c r="I1022" s="187"/>
      <c r="J1022" s="145"/>
      <c r="K1022" s="187"/>
      <c r="L1022" s="151"/>
      <c r="M1022" s="146"/>
      <c r="N1022" s="115"/>
      <c r="O1022" s="115"/>
      <c r="P1022" s="116"/>
      <c r="Q1022" s="116"/>
      <c r="R1022" s="147"/>
    </row>
    <row r="1023" spans="1:18" s="148" customFormat="1" ht="18" customHeight="1" x14ac:dyDescent="0.25">
      <c r="A1023" s="185">
        <v>7</v>
      </c>
      <c r="B1023" s="140"/>
      <c r="C1023" s="140"/>
      <c r="D1023" s="140"/>
      <c r="E1023" s="156" t="s">
        <v>59</v>
      </c>
      <c r="F1023" s="140"/>
      <c r="G1023" s="142"/>
      <c r="H1023" s="143" t="s">
        <v>151</v>
      </c>
      <c r="I1023" s="187" t="s">
        <v>230</v>
      </c>
      <c r="J1023" s="145">
        <f>11676*12</f>
        <v>140112</v>
      </c>
      <c r="K1023" s="187" t="s">
        <v>252</v>
      </c>
      <c r="L1023" s="145">
        <v>138432</v>
      </c>
      <c r="M1023" s="146">
        <f>L1023-J1023</f>
        <v>-1680</v>
      </c>
      <c r="N1023" s="115">
        <f>L1023-J1023</f>
        <v>-1680</v>
      </c>
      <c r="O1023" s="115">
        <f>N1023-M1023</f>
        <v>0</v>
      </c>
      <c r="P1023" s="116">
        <v>10727</v>
      </c>
      <c r="Q1023" s="116">
        <f>P1023*12</f>
        <v>128724</v>
      </c>
      <c r="R1023" s="147">
        <f>Q1023-L1023</f>
        <v>-9708</v>
      </c>
    </row>
    <row r="1024" spans="1:18" s="148" customFormat="1" ht="18" customHeight="1" x14ac:dyDescent="0.25">
      <c r="A1024" s="185"/>
      <c r="B1024" s="140"/>
      <c r="C1024" s="140"/>
      <c r="D1024" s="140"/>
      <c r="E1024" s="156"/>
      <c r="F1024" s="140"/>
      <c r="G1024" s="142"/>
      <c r="H1024" s="143"/>
      <c r="I1024" s="187"/>
      <c r="J1024" s="145"/>
      <c r="K1024" s="187"/>
      <c r="L1024" s="145"/>
      <c r="M1024" s="146"/>
      <c r="N1024" s="115"/>
      <c r="O1024" s="115"/>
      <c r="P1024" s="116"/>
      <c r="Q1024" s="116"/>
      <c r="R1024" s="147"/>
    </row>
    <row r="1025" spans="1:18" s="148" customFormat="1" ht="18" customHeight="1" x14ac:dyDescent="0.25">
      <c r="A1025" s="185">
        <v>8</v>
      </c>
      <c r="B1025" s="140"/>
      <c r="C1025" s="140"/>
      <c r="D1025" s="140"/>
      <c r="E1025" s="156" t="s">
        <v>149</v>
      </c>
      <c r="F1025" s="140"/>
      <c r="G1025" s="142"/>
      <c r="H1025" s="143" t="s">
        <v>150</v>
      </c>
      <c r="I1025" s="187" t="s">
        <v>966</v>
      </c>
      <c r="J1025" s="145">
        <f>10322*12</f>
        <v>123864</v>
      </c>
      <c r="K1025" s="187" t="s">
        <v>966</v>
      </c>
      <c r="L1025" s="145">
        <v>129036</v>
      </c>
      <c r="M1025" s="146">
        <f>L1025-J1025</f>
        <v>5172</v>
      </c>
      <c r="N1025" s="115">
        <f>L1025-J1025</f>
        <v>5172</v>
      </c>
      <c r="O1025" s="115">
        <f>N1025-M1025</f>
        <v>0</v>
      </c>
      <c r="P1025" s="116">
        <v>9335</v>
      </c>
      <c r="Q1025" s="116">
        <f>P1025*12</f>
        <v>112020</v>
      </c>
      <c r="R1025" s="147">
        <f>Q1025-L1025</f>
        <v>-17016</v>
      </c>
    </row>
    <row r="1026" spans="1:18" s="148" customFormat="1" ht="18" customHeight="1" x14ac:dyDescent="0.25">
      <c r="A1026" s="185"/>
      <c r="B1026" s="140"/>
      <c r="C1026" s="140"/>
      <c r="D1026" s="140"/>
      <c r="E1026" s="156"/>
      <c r="F1026" s="140"/>
      <c r="G1026" s="142"/>
      <c r="H1026" s="143"/>
      <c r="I1026" s="187"/>
      <c r="J1026" s="145"/>
      <c r="K1026" s="187"/>
      <c r="L1026" s="145"/>
      <c r="M1026" s="146"/>
      <c r="N1026" s="115"/>
      <c r="O1026" s="115"/>
      <c r="P1026" s="116"/>
      <c r="Q1026" s="116"/>
      <c r="R1026" s="147"/>
    </row>
    <row r="1027" spans="1:18" s="148" customFormat="1" ht="18" customHeight="1" x14ac:dyDescent="0.25">
      <c r="A1027" s="185">
        <v>9</v>
      </c>
      <c r="B1027" s="140"/>
      <c r="C1027" s="140"/>
      <c r="D1027" s="140"/>
      <c r="E1027" s="156" t="s">
        <v>149</v>
      </c>
      <c r="F1027" s="140"/>
      <c r="G1027" s="142"/>
      <c r="H1027" s="237" t="s">
        <v>988</v>
      </c>
      <c r="I1027" s="187" t="s">
        <v>157</v>
      </c>
      <c r="J1027" s="145">
        <f>9818*12</f>
        <v>117816</v>
      </c>
      <c r="K1027" s="187" t="s">
        <v>157</v>
      </c>
      <c r="L1027" s="145">
        <v>122748</v>
      </c>
      <c r="M1027" s="146">
        <f>L1027-J1027</f>
        <v>4932</v>
      </c>
      <c r="N1027" s="115">
        <f>L1027-J1027</f>
        <v>4932</v>
      </c>
      <c r="O1027" s="115">
        <f>N1027-M1027</f>
        <v>0</v>
      </c>
      <c r="P1027" s="116">
        <v>9091</v>
      </c>
      <c r="Q1027" s="116">
        <f>P1027*12</f>
        <v>109092</v>
      </c>
      <c r="R1027" s="147">
        <f>Q1027-L1027</f>
        <v>-13656</v>
      </c>
    </row>
    <row r="1028" spans="1:18" s="148" customFormat="1" ht="18" customHeight="1" x14ac:dyDescent="0.25">
      <c r="A1028" s="185"/>
      <c r="B1028" s="140"/>
      <c r="C1028" s="140"/>
      <c r="D1028" s="140"/>
      <c r="E1028" s="156"/>
      <c r="F1028" s="140"/>
      <c r="G1028" s="142"/>
      <c r="H1028" s="237"/>
      <c r="I1028" s="187"/>
      <c r="J1028" s="145"/>
      <c r="K1028" s="187" t="s">
        <v>154</v>
      </c>
      <c r="L1028" s="145">
        <v>123768</v>
      </c>
      <c r="M1028" s="146">
        <v>510</v>
      </c>
      <c r="N1028" s="115"/>
      <c r="O1028" s="115"/>
      <c r="P1028" s="116"/>
      <c r="Q1028" s="116"/>
      <c r="R1028" s="147"/>
    </row>
    <row r="1029" spans="1:18" s="148" customFormat="1" ht="18" customHeight="1" x14ac:dyDescent="0.25">
      <c r="A1029" s="185"/>
      <c r="B1029" s="140"/>
      <c r="C1029" s="140"/>
      <c r="D1029" s="140"/>
      <c r="E1029" s="156"/>
      <c r="F1029" s="140"/>
      <c r="G1029" s="142"/>
      <c r="H1029" s="237"/>
      <c r="I1029" s="187"/>
      <c r="J1029" s="145"/>
      <c r="K1029" s="187"/>
      <c r="L1029" s="151">
        <v>44397</v>
      </c>
      <c r="M1029" s="146"/>
      <c r="N1029" s="115"/>
      <c r="O1029" s="115"/>
      <c r="P1029" s="116"/>
      <c r="Q1029" s="116"/>
      <c r="R1029" s="147"/>
    </row>
    <row r="1030" spans="1:18" s="148" customFormat="1" ht="18" customHeight="1" x14ac:dyDescent="0.25">
      <c r="A1030" s="185"/>
      <c r="B1030" s="140"/>
      <c r="C1030" s="140"/>
      <c r="D1030" s="140"/>
      <c r="E1030" s="156"/>
      <c r="F1030" s="140"/>
      <c r="G1030" s="142"/>
      <c r="H1030" s="237"/>
      <c r="I1030" s="187"/>
      <c r="J1030" s="145"/>
      <c r="K1030" s="187"/>
      <c r="L1030" s="145"/>
      <c r="M1030" s="146"/>
      <c r="N1030" s="115"/>
      <c r="O1030" s="115"/>
      <c r="P1030" s="116"/>
      <c r="Q1030" s="116"/>
      <c r="R1030" s="147"/>
    </row>
    <row r="1031" spans="1:18" s="148" customFormat="1" ht="18" customHeight="1" x14ac:dyDescent="0.25">
      <c r="A1031" s="185">
        <v>10</v>
      </c>
      <c r="B1031" s="140"/>
      <c r="C1031" s="140"/>
      <c r="D1031" s="140"/>
      <c r="E1031" s="156" t="s">
        <v>149</v>
      </c>
      <c r="F1031" s="140"/>
      <c r="G1031" s="142"/>
      <c r="H1031" s="143" t="s">
        <v>1639</v>
      </c>
      <c r="I1031" s="187" t="s">
        <v>402</v>
      </c>
      <c r="J1031" s="145">
        <f>10236*12</f>
        <v>122832</v>
      </c>
      <c r="K1031" s="187" t="s">
        <v>157</v>
      </c>
      <c r="L1031" s="145">
        <v>122748</v>
      </c>
      <c r="M1031" s="146">
        <f>L1031-J1031</f>
        <v>-84</v>
      </c>
      <c r="N1031" s="115">
        <f>L1031-J1031</f>
        <v>-84</v>
      </c>
      <c r="O1031" s="115">
        <f>N1031-M1031</f>
        <v>0</v>
      </c>
      <c r="P1031" s="116">
        <v>9251</v>
      </c>
      <c r="Q1031" s="116">
        <f>P1031*12</f>
        <v>111012</v>
      </c>
      <c r="R1031" s="147">
        <f>Q1031-L1031</f>
        <v>-11736</v>
      </c>
    </row>
    <row r="1032" spans="1:18" s="148" customFormat="1" ht="18" customHeight="1" x14ac:dyDescent="0.25">
      <c r="A1032" s="185"/>
      <c r="B1032" s="140"/>
      <c r="C1032" s="140"/>
      <c r="D1032" s="140"/>
      <c r="E1032" s="156"/>
      <c r="F1032" s="140"/>
      <c r="G1032" s="142"/>
      <c r="H1032" s="143"/>
      <c r="I1032" s="187"/>
      <c r="J1032" s="145"/>
      <c r="K1032" s="187"/>
      <c r="L1032" s="145"/>
      <c r="M1032" s="146"/>
      <c r="N1032" s="115"/>
      <c r="O1032" s="115"/>
      <c r="P1032" s="116">
        <v>9335</v>
      </c>
      <c r="Q1032" s="116">
        <f>P1032*12</f>
        <v>112020</v>
      </c>
      <c r="R1032" s="147">
        <f>Q1032-L1032</f>
        <v>112020</v>
      </c>
    </row>
    <row r="1033" spans="1:18" s="148" customFormat="1" ht="18" customHeight="1" x14ac:dyDescent="0.25">
      <c r="A1033" s="185">
        <v>11</v>
      </c>
      <c r="B1033" s="140"/>
      <c r="C1033" s="140"/>
      <c r="D1033" s="140"/>
      <c r="E1033" s="156" t="s">
        <v>153</v>
      </c>
      <c r="F1033" s="140"/>
      <c r="G1033" s="142"/>
      <c r="H1033" s="143" t="s">
        <v>1491</v>
      </c>
      <c r="I1033" s="187" t="s">
        <v>157</v>
      </c>
      <c r="J1033" s="145">
        <f>9818*12</f>
        <v>117816</v>
      </c>
      <c r="K1033" s="187" t="s">
        <v>157</v>
      </c>
      <c r="L1033" s="145">
        <v>122748</v>
      </c>
      <c r="M1033" s="146">
        <f>L1033-J1033</f>
        <v>4932</v>
      </c>
      <c r="N1033" s="115">
        <f>L1033-J1033</f>
        <v>4932</v>
      </c>
      <c r="O1033" s="115">
        <f>N1033-M1033</f>
        <v>0</v>
      </c>
      <c r="P1033" s="116">
        <v>9171</v>
      </c>
      <c r="Q1033" s="116">
        <f>P1033*12</f>
        <v>110052</v>
      </c>
      <c r="R1033" s="147">
        <f>Q1033-L1033</f>
        <v>-12696</v>
      </c>
    </row>
    <row r="1034" spans="1:18" s="148" customFormat="1" ht="18" customHeight="1" x14ac:dyDescent="0.25">
      <c r="A1034" s="185"/>
      <c r="B1034" s="140"/>
      <c r="C1034" s="140"/>
      <c r="D1034" s="140"/>
      <c r="E1034" s="156"/>
      <c r="F1034" s="140"/>
      <c r="G1034" s="142"/>
      <c r="H1034" s="143"/>
      <c r="I1034" s="187"/>
      <c r="J1034" s="145"/>
      <c r="K1034" s="187" t="s">
        <v>154</v>
      </c>
      <c r="L1034" s="145">
        <v>123768</v>
      </c>
      <c r="M1034" s="146">
        <v>170</v>
      </c>
      <c r="N1034" s="115"/>
      <c r="O1034" s="115"/>
      <c r="P1034" s="116"/>
      <c r="Q1034" s="116"/>
      <c r="R1034" s="147"/>
    </row>
    <row r="1035" spans="1:18" s="148" customFormat="1" ht="18" customHeight="1" x14ac:dyDescent="0.25">
      <c r="A1035" s="185"/>
      <c r="B1035" s="140"/>
      <c r="C1035" s="140"/>
      <c r="D1035" s="140"/>
      <c r="E1035" s="156"/>
      <c r="F1035" s="140"/>
      <c r="G1035" s="142"/>
      <c r="H1035" s="143"/>
      <c r="I1035" s="187"/>
      <c r="J1035" s="145"/>
      <c r="K1035" s="187"/>
      <c r="L1035" s="151">
        <v>44516</v>
      </c>
      <c r="M1035" s="146"/>
      <c r="N1035" s="115"/>
      <c r="O1035" s="115"/>
      <c r="P1035" s="116"/>
      <c r="Q1035" s="116"/>
      <c r="R1035" s="147"/>
    </row>
    <row r="1036" spans="1:18" s="148" customFormat="1" ht="18" customHeight="1" x14ac:dyDescent="0.25">
      <c r="A1036" s="185"/>
      <c r="B1036" s="140"/>
      <c r="C1036" s="140"/>
      <c r="D1036" s="140"/>
      <c r="E1036" s="156"/>
      <c r="F1036" s="140"/>
      <c r="G1036" s="142"/>
      <c r="H1036" s="143"/>
      <c r="I1036" s="187"/>
      <c r="J1036" s="151"/>
      <c r="K1036" s="187"/>
      <c r="L1036" s="151"/>
      <c r="M1036" s="146"/>
      <c r="N1036" s="115"/>
      <c r="O1036" s="115"/>
      <c r="P1036" s="116"/>
      <c r="Q1036" s="116"/>
      <c r="R1036" s="117"/>
    </row>
    <row r="1037" spans="1:18" s="148" customFormat="1" ht="18" customHeight="1" x14ac:dyDescent="0.25">
      <c r="A1037" s="185">
        <v>12</v>
      </c>
      <c r="B1037" s="140"/>
      <c r="C1037" s="140"/>
      <c r="D1037" s="140"/>
      <c r="E1037" s="156" t="s">
        <v>153</v>
      </c>
      <c r="F1037" s="140"/>
      <c r="G1037" s="142"/>
      <c r="H1037" s="143" t="s">
        <v>155</v>
      </c>
      <c r="I1037" s="187" t="s">
        <v>966</v>
      </c>
      <c r="J1037" s="145">
        <f>10322*12</f>
        <v>123864</v>
      </c>
      <c r="K1037" s="187" t="s">
        <v>966</v>
      </c>
      <c r="L1037" s="145">
        <v>129036</v>
      </c>
      <c r="M1037" s="146">
        <f>L1037-J1037</f>
        <v>5172</v>
      </c>
      <c r="N1037" s="115">
        <f>L1037-J1037</f>
        <v>5172</v>
      </c>
      <c r="O1037" s="115">
        <f>N1037-M1037</f>
        <v>0</v>
      </c>
      <c r="P1037" s="116">
        <v>9335</v>
      </c>
      <c r="Q1037" s="116">
        <f>P1037*12</f>
        <v>112020</v>
      </c>
      <c r="R1037" s="147">
        <f>Q1037-L1037</f>
        <v>-17016</v>
      </c>
    </row>
    <row r="1038" spans="1:18" s="148" customFormat="1" ht="18" customHeight="1" x14ac:dyDescent="0.25">
      <c r="A1038" s="185"/>
      <c r="B1038" s="140"/>
      <c r="C1038" s="140"/>
      <c r="D1038" s="140"/>
      <c r="E1038" s="156"/>
      <c r="F1038" s="140"/>
      <c r="G1038" s="142"/>
      <c r="H1038" s="143"/>
      <c r="I1038" s="187"/>
      <c r="J1038" s="151"/>
      <c r="K1038" s="187"/>
      <c r="L1038" s="151"/>
      <c r="M1038" s="146"/>
      <c r="N1038" s="115"/>
      <c r="O1038" s="115"/>
      <c r="P1038" s="116"/>
      <c r="Q1038" s="116"/>
      <c r="R1038" s="117"/>
    </row>
    <row r="1039" spans="1:18" s="148" customFormat="1" ht="18" customHeight="1" x14ac:dyDescent="0.25">
      <c r="A1039" s="185">
        <v>13</v>
      </c>
      <c r="B1039" s="140"/>
      <c r="C1039" s="140"/>
      <c r="D1039" s="140"/>
      <c r="E1039" s="156" t="s">
        <v>153</v>
      </c>
      <c r="F1039" s="140"/>
      <c r="G1039" s="142"/>
      <c r="H1039" s="143" t="s">
        <v>910</v>
      </c>
      <c r="I1039" s="187" t="s">
        <v>154</v>
      </c>
      <c r="J1039" s="145">
        <f>9900*12</f>
        <v>118800</v>
      </c>
      <c r="K1039" s="187" t="s">
        <v>154</v>
      </c>
      <c r="L1039" s="145">
        <v>123768</v>
      </c>
      <c r="M1039" s="146">
        <f>L1039-J1039</f>
        <v>4968</v>
      </c>
      <c r="N1039" s="115">
        <f>L1039-J1039</f>
        <v>4968</v>
      </c>
      <c r="O1039" s="115">
        <f>N1039-M1039</f>
        <v>0</v>
      </c>
      <c r="P1039" s="116">
        <v>8934</v>
      </c>
      <c r="Q1039" s="116">
        <f>P1039*12</f>
        <v>107208</v>
      </c>
      <c r="R1039" s="147">
        <f>Q1039-L1039</f>
        <v>-16560</v>
      </c>
    </row>
    <row r="1040" spans="1:18" s="148" customFormat="1" ht="18" customHeight="1" x14ac:dyDescent="0.25">
      <c r="A1040" s="185"/>
      <c r="B1040" s="140"/>
      <c r="C1040" s="140"/>
      <c r="D1040" s="140"/>
      <c r="E1040" s="156"/>
      <c r="F1040" s="140"/>
      <c r="G1040" s="142"/>
      <c r="H1040" s="143"/>
      <c r="I1040" s="187"/>
      <c r="J1040" s="145"/>
      <c r="K1040" s="187"/>
      <c r="L1040" s="145"/>
      <c r="M1040" s="146"/>
      <c r="N1040" s="115"/>
      <c r="O1040" s="115"/>
      <c r="P1040" s="116"/>
      <c r="Q1040" s="116"/>
      <c r="R1040" s="117"/>
    </row>
    <row r="1041" spans="1:18" s="148" customFormat="1" ht="18" customHeight="1" x14ac:dyDescent="0.25">
      <c r="A1041" s="185">
        <v>14</v>
      </c>
      <c r="B1041" s="140"/>
      <c r="C1041" s="140"/>
      <c r="D1041" s="140"/>
      <c r="E1041" s="156" t="s">
        <v>153</v>
      </c>
      <c r="F1041" s="140"/>
      <c r="G1041" s="142"/>
      <c r="H1041" s="143" t="s">
        <v>1505</v>
      </c>
      <c r="I1041" s="187" t="s">
        <v>231</v>
      </c>
      <c r="J1041" s="145">
        <f>10151*12</f>
        <v>121812</v>
      </c>
      <c r="K1041" s="187" t="s">
        <v>231</v>
      </c>
      <c r="L1041" s="145">
        <v>126912</v>
      </c>
      <c r="M1041" s="146">
        <f>L1041-J1041</f>
        <v>5100</v>
      </c>
      <c r="N1041" s="115">
        <f>L1041-J1041</f>
        <v>5100</v>
      </c>
      <c r="O1041" s="115">
        <f>N1041-M1041</f>
        <v>0</v>
      </c>
      <c r="P1041" s="116">
        <v>9171</v>
      </c>
      <c r="Q1041" s="116">
        <f>P1041*12</f>
        <v>110052</v>
      </c>
      <c r="R1041" s="147">
        <f>Q1041-L1041</f>
        <v>-16860</v>
      </c>
    </row>
    <row r="1042" spans="1:18" s="148" customFormat="1" ht="18" customHeight="1" x14ac:dyDescent="0.25">
      <c r="A1042" s="185"/>
      <c r="B1042" s="140"/>
      <c r="C1042" s="140"/>
      <c r="D1042" s="140"/>
      <c r="E1042" s="156"/>
      <c r="F1042" s="140"/>
      <c r="G1042" s="142"/>
      <c r="H1042" s="143"/>
      <c r="I1042" s="187"/>
      <c r="J1042" s="145"/>
      <c r="K1042" s="187" t="s">
        <v>402</v>
      </c>
      <c r="L1042" s="145">
        <v>127956</v>
      </c>
      <c r="M1042" s="146">
        <v>348</v>
      </c>
      <c r="N1042" s="115"/>
      <c r="O1042" s="115"/>
      <c r="P1042" s="116"/>
      <c r="Q1042" s="116"/>
      <c r="R1042" s="147"/>
    </row>
    <row r="1043" spans="1:18" s="148" customFormat="1" ht="18" customHeight="1" x14ac:dyDescent="0.25">
      <c r="A1043" s="185"/>
      <c r="B1043" s="140"/>
      <c r="C1043" s="140"/>
      <c r="D1043" s="140"/>
      <c r="E1043" s="156"/>
      <c r="F1043" s="140"/>
      <c r="G1043" s="142"/>
      <c r="H1043" s="143"/>
      <c r="I1043" s="187"/>
      <c r="J1043" s="145"/>
      <c r="K1043" s="187"/>
      <c r="L1043" s="151">
        <v>44440</v>
      </c>
      <c r="M1043" s="146"/>
      <c r="N1043" s="115"/>
      <c r="O1043" s="115"/>
      <c r="P1043" s="116"/>
      <c r="Q1043" s="116"/>
      <c r="R1043" s="147"/>
    </row>
    <row r="1044" spans="1:18" s="148" customFormat="1" ht="18" customHeight="1" x14ac:dyDescent="0.25">
      <c r="A1044" s="185"/>
      <c r="B1044" s="140"/>
      <c r="C1044" s="140"/>
      <c r="D1044" s="140"/>
      <c r="E1044" s="156"/>
      <c r="F1044" s="140"/>
      <c r="G1044" s="142"/>
      <c r="H1044" s="143"/>
      <c r="I1044" s="187"/>
      <c r="J1044" s="145"/>
      <c r="K1044" s="187"/>
      <c r="L1044" s="145"/>
      <c r="M1044" s="146"/>
      <c r="N1044" s="115"/>
      <c r="O1044" s="115"/>
      <c r="P1044" s="116">
        <v>9251</v>
      </c>
      <c r="Q1044" s="116">
        <f>P1044*12</f>
        <v>111012</v>
      </c>
      <c r="R1044" s="147">
        <f>Q1044-L1044</f>
        <v>111012</v>
      </c>
    </row>
    <row r="1045" spans="1:18" s="148" customFormat="1" ht="18" customHeight="1" x14ac:dyDescent="0.25">
      <c r="A1045" s="185">
        <v>15</v>
      </c>
      <c r="B1045" s="140"/>
      <c r="C1045" s="140"/>
      <c r="D1045" s="140"/>
      <c r="E1045" s="156" t="s">
        <v>153</v>
      </c>
      <c r="F1045" s="140"/>
      <c r="G1045" s="142"/>
      <c r="H1045" s="143" t="s">
        <v>256</v>
      </c>
      <c r="I1045" s="187" t="s">
        <v>152</v>
      </c>
      <c r="J1045" s="145">
        <f>9983*12</f>
        <v>119796</v>
      </c>
      <c r="K1045" s="187" t="s">
        <v>152</v>
      </c>
      <c r="L1045" s="145">
        <v>124812</v>
      </c>
      <c r="M1045" s="146">
        <f>L1045-J1045</f>
        <v>5016</v>
      </c>
      <c r="N1045" s="115">
        <f>L1045-J1045</f>
        <v>5016</v>
      </c>
      <c r="O1045" s="115">
        <f>N1045-M1045</f>
        <v>0</v>
      </c>
      <c r="P1045" s="116">
        <v>9012</v>
      </c>
      <c r="Q1045" s="116">
        <f>P1045*12</f>
        <v>108144</v>
      </c>
      <c r="R1045" s="147">
        <f>Q1045-L1045</f>
        <v>-16668</v>
      </c>
    </row>
    <row r="1046" spans="1:18" s="148" customFormat="1" ht="18" customHeight="1" x14ac:dyDescent="0.25">
      <c r="A1046" s="185"/>
      <c r="B1046" s="140"/>
      <c r="C1046" s="140"/>
      <c r="D1046" s="140"/>
      <c r="E1046" s="156"/>
      <c r="F1046" s="140"/>
      <c r="G1046" s="142"/>
      <c r="H1046" s="143"/>
      <c r="I1046" s="187"/>
      <c r="J1046" s="145"/>
      <c r="K1046" s="187"/>
      <c r="L1046" s="145"/>
      <c r="M1046" s="146"/>
      <c r="N1046" s="115"/>
      <c r="O1046" s="115"/>
      <c r="P1046" s="116"/>
      <c r="Q1046" s="116"/>
      <c r="R1046" s="147"/>
    </row>
    <row r="1047" spans="1:18" s="148" customFormat="1" ht="18" customHeight="1" x14ac:dyDescent="0.25">
      <c r="A1047" s="185">
        <v>16</v>
      </c>
      <c r="B1047" s="140"/>
      <c r="C1047" s="140"/>
      <c r="D1047" s="140"/>
      <c r="E1047" s="156" t="s">
        <v>153</v>
      </c>
      <c r="F1047" s="140"/>
      <c r="G1047" s="142"/>
      <c r="H1047" s="143" t="s">
        <v>451</v>
      </c>
      <c r="I1047" s="187" t="s">
        <v>231</v>
      </c>
      <c r="J1047" s="145">
        <f>10151*12</f>
        <v>121812</v>
      </c>
      <c r="K1047" s="187" t="s">
        <v>231</v>
      </c>
      <c r="L1047" s="145">
        <v>126912</v>
      </c>
      <c r="M1047" s="146">
        <f>L1047-J1047</f>
        <v>5100</v>
      </c>
      <c r="N1047" s="115">
        <f>L1047-J1047</f>
        <v>5100</v>
      </c>
      <c r="O1047" s="115">
        <f>N1047-M1047</f>
        <v>0</v>
      </c>
      <c r="P1047" s="116">
        <v>9171</v>
      </c>
      <c r="Q1047" s="116">
        <f>P1047*12</f>
        <v>110052</v>
      </c>
      <c r="R1047" s="147">
        <f>Q1047-L1047</f>
        <v>-16860</v>
      </c>
    </row>
    <row r="1048" spans="1:18" s="148" customFormat="1" ht="18" customHeight="1" x14ac:dyDescent="0.25">
      <c r="A1048" s="185"/>
      <c r="B1048" s="140"/>
      <c r="C1048" s="140"/>
      <c r="D1048" s="140"/>
      <c r="E1048" s="156"/>
      <c r="F1048" s="140"/>
      <c r="G1048" s="142"/>
      <c r="H1048" s="143"/>
      <c r="I1048" s="187"/>
      <c r="J1048" s="145"/>
      <c r="K1048" s="187" t="s">
        <v>402</v>
      </c>
      <c r="L1048" s="145">
        <v>127956</v>
      </c>
      <c r="M1048" s="146">
        <v>957</v>
      </c>
      <c r="N1048" s="115"/>
      <c r="O1048" s="115"/>
      <c r="P1048" s="116"/>
      <c r="Q1048" s="116"/>
      <c r="R1048" s="147"/>
    </row>
    <row r="1049" spans="1:18" s="148" customFormat="1" ht="18" customHeight="1" x14ac:dyDescent="0.25">
      <c r="A1049" s="185"/>
      <c r="B1049" s="140"/>
      <c r="C1049" s="140"/>
      <c r="D1049" s="140"/>
      <c r="E1049" s="156"/>
      <c r="F1049" s="140"/>
      <c r="G1049" s="142"/>
      <c r="H1049" s="143"/>
      <c r="I1049" s="187"/>
      <c r="J1049" s="145"/>
      <c r="K1049" s="187"/>
      <c r="L1049" s="151">
        <v>44243</v>
      </c>
      <c r="M1049" s="146"/>
      <c r="N1049" s="115"/>
      <c r="O1049" s="115"/>
      <c r="P1049" s="116">
        <v>9251</v>
      </c>
      <c r="Q1049" s="116">
        <f>P1049*12</f>
        <v>111012</v>
      </c>
      <c r="R1049" s="147">
        <f>Q1049-L1049</f>
        <v>66769</v>
      </c>
    </row>
    <row r="1050" spans="1:18" s="148" customFormat="1" ht="18" customHeight="1" x14ac:dyDescent="0.25">
      <c r="A1050" s="185"/>
      <c r="B1050" s="140"/>
      <c r="C1050" s="140"/>
      <c r="D1050" s="140"/>
      <c r="E1050" s="156"/>
      <c r="F1050" s="140"/>
      <c r="G1050" s="142"/>
      <c r="H1050" s="143"/>
      <c r="I1050" s="187"/>
      <c r="J1050" s="145"/>
      <c r="K1050" s="187"/>
      <c r="L1050" s="151"/>
      <c r="M1050" s="146"/>
      <c r="N1050" s="115"/>
      <c r="O1050" s="115"/>
      <c r="P1050" s="116"/>
      <c r="Q1050" s="116"/>
      <c r="R1050" s="147"/>
    </row>
    <row r="1051" spans="1:18" s="148" customFormat="1" ht="18" customHeight="1" x14ac:dyDescent="0.25">
      <c r="A1051" s="185">
        <v>17</v>
      </c>
      <c r="B1051" s="140"/>
      <c r="C1051" s="140"/>
      <c r="D1051" s="140"/>
      <c r="E1051" s="156" t="s">
        <v>153</v>
      </c>
      <c r="F1051" s="140"/>
      <c r="G1051" s="142"/>
      <c r="H1051" s="143" t="s">
        <v>915</v>
      </c>
      <c r="I1051" s="187" t="s">
        <v>154</v>
      </c>
      <c r="J1051" s="145">
        <f>9900*12</f>
        <v>118800</v>
      </c>
      <c r="K1051" s="187" t="s">
        <v>154</v>
      </c>
      <c r="L1051" s="145">
        <v>123768</v>
      </c>
      <c r="M1051" s="146">
        <f>L1051-J1051</f>
        <v>4968</v>
      </c>
      <c r="N1051" s="115">
        <f>L1051-J1051</f>
        <v>4968</v>
      </c>
      <c r="O1051" s="115">
        <f>N1051-M1051</f>
        <v>0</v>
      </c>
      <c r="P1051" s="116">
        <v>8934</v>
      </c>
      <c r="Q1051" s="116">
        <f>P1051*12</f>
        <v>107208</v>
      </c>
      <c r="R1051" s="147">
        <f>Q1051-L1051</f>
        <v>-16560</v>
      </c>
    </row>
    <row r="1052" spans="1:18" s="148" customFormat="1" ht="18" customHeight="1" x14ac:dyDescent="0.25">
      <c r="A1052" s="185"/>
      <c r="B1052" s="140"/>
      <c r="C1052" s="140"/>
      <c r="D1052" s="140"/>
      <c r="E1052" s="156"/>
      <c r="F1052" s="140"/>
      <c r="G1052" s="142"/>
      <c r="H1052" s="143"/>
      <c r="I1052" s="187"/>
      <c r="J1052" s="145"/>
      <c r="K1052" s="187"/>
      <c r="L1052" s="145"/>
      <c r="M1052" s="146"/>
      <c r="N1052" s="115"/>
      <c r="O1052" s="115"/>
      <c r="P1052" s="116"/>
      <c r="Q1052" s="116"/>
      <c r="R1052" s="147"/>
    </row>
    <row r="1053" spans="1:18" s="148" customFormat="1" ht="18" customHeight="1" x14ac:dyDescent="0.25">
      <c r="A1053" s="185">
        <v>18</v>
      </c>
      <c r="B1053" s="140"/>
      <c r="C1053" s="140"/>
      <c r="D1053" s="140"/>
      <c r="E1053" s="156" t="s">
        <v>153</v>
      </c>
      <c r="F1053" s="140"/>
      <c r="G1053" s="142"/>
      <c r="H1053" s="143" t="s">
        <v>56</v>
      </c>
      <c r="I1053" s="187" t="s">
        <v>154</v>
      </c>
      <c r="J1053" s="145">
        <f>9900*12</f>
        <v>118800</v>
      </c>
      <c r="K1053" s="187" t="s">
        <v>154</v>
      </c>
      <c r="L1053" s="145">
        <v>123768</v>
      </c>
      <c r="M1053" s="146">
        <f>L1053-J1053</f>
        <v>4968</v>
      </c>
      <c r="N1053" s="115">
        <f>L1053-J1053</f>
        <v>4968</v>
      </c>
      <c r="O1053" s="115">
        <f>N1053-M1053</f>
        <v>0</v>
      </c>
      <c r="P1053" s="116">
        <v>8934</v>
      </c>
      <c r="Q1053" s="116">
        <f>P1053*12</f>
        <v>107208</v>
      </c>
      <c r="R1053" s="147">
        <f>Q1053-L1053</f>
        <v>-16560</v>
      </c>
    </row>
    <row r="1054" spans="1:18" s="148" customFormat="1" ht="18" customHeight="1" x14ac:dyDescent="0.25">
      <c r="A1054" s="185"/>
      <c r="B1054" s="140"/>
      <c r="C1054" s="140"/>
      <c r="D1054" s="140"/>
      <c r="E1054" s="156"/>
      <c r="F1054" s="140"/>
      <c r="G1054" s="142"/>
      <c r="H1054" s="143"/>
      <c r="I1054" s="187"/>
      <c r="J1054" s="151"/>
      <c r="K1054" s="187"/>
      <c r="L1054" s="151"/>
      <c r="M1054" s="146"/>
      <c r="N1054" s="115"/>
      <c r="O1054" s="115"/>
      <c r="P1054" s="116"/>
      <c r="Q1054" s="116"/>
      <c r="R1054" s="117"/>
    </row>
    <row r="1055" spans="1:18" s="148" customFormat="1" ht="18" customHeight="1" x14ac:dyDescent="0.25">
      <c r="A1055" s="185">
        <v>19</v>
      </c>
      <c r="B1055" s="140"/>
      <c r="C1055" s="140"/>
      <c r="D1055" s="140"/>
      <c r="E1055" s="156" t="s">
        <v>153</v>
      </c>
      <c r="F1055" s="140"/>
      <c r="G1055" s="142"/>
      <c r="H1055" s="143" t="s">
        <v>911</v>
      </c>
      <c r="I1055" s="187" t="s">
        <v>154</v>
      </c>
      <c r="J1055" s="145">
        <f>9900*12</f>
        <v>118800</v>
      </c>
      <c r="K1055" s="187" t="s">
        <v>154</v>
      </c>
      <c r="L1055" s="145">
        <v>123768</v>
      </c>
      <c r="M1055" s="146">
        <f>L1055-J1055</f>
        <v>4968</v>
      </c>
      <c r="N1055" s="115">
        <f>L1055-J1055</f>
        <v>4968</v>
      </c>
      <c r="O1055" s="115">
        <f>N1055-M1055</f>
        <v>0</v>
      </c>
      <c r="P1055" s="116">
        <v>8934</v>
      </c>
      <c r="Q1055" s="116">
        <f>P1055*12</f>
        <v>107208</v>
      </c>
      <c r="R1055" s="147">
        <f>Q1055-L1055</f>
        <v>-16560</v>
      </c>
    </row>
    <row r="1056" spans="1:18" s="148" customFormat="1" ht="18" customHeight="1" x14ac:dyDescent="0.25">
      <c r="A1056" s="185"/>
      <c r="B1056" s="140"/>
      <c r="C1056" s="140"/>
      <c r="D1056" s="140"/>
      <c r="E1056" s="156"/>
      <c r="F1056" s="140"/>
      <c r="G1056" s="142"/>
      <c r="H1056" s="143"/>
      <c r="I1056" s="187"/>
      <c r="J1056" s="145"/>
      <c r="K1056" s="187"/>
      <c r="L1056" s="145"/>
      <c r="M1056" s="146"/>
      <c r="N1056" s="115"/>
      <c r="O1056" s="115"/>
      <c r="P1056" s="116"/>
      <c r="Q1056" s="116"/>
      <c r="R1056" s="117"/>
    </row>
    <row r="1057" spans="1:18" s="148" customFormat="1" ht="18" customHeight="1" x14ac:dyDescent="0.25">
      <c r="A1057" s="185">
        <v>20</v>
      </c>
      <c r="B1057" s="140"/>
      <c r="C1057" s="140"/>
      <c r="D1057" s="140"/>
      <c r="E1057" s="156" t="s">
        <v>153</v>
      </c>
      <c r="F1057" s="140"/>
      <c r="G1057" s="142"/>
      <c r="H1057" s="143" t="s">
        <v>158</v>
      </c>
      <c r="I1057" s="187" t="s">
        <v>226</v>
      </c>
      <c r="J1057" s="145">
        <f>10407*12</f>
        <v>124884</v>
      </c>
      <c r="K1057" s="187" t="s">
        <v>226</v>
      </c>
      <c r="L1057" s="145">
        <v>130116</v>
      </c>
      <c r="M1057" s="146">
        <f>L1057-J1057</f>
        <v>5232</v>
      </c>
      <c r="N1057" s="115">
        <f>L1057-J1057</f>
        <v>5232</v>
      </c>
      <c r="O1057" s="115">
        <f>N1057-M1057</f>
        <v>0</v>
      </c>
      <c r="P1057" s="116">
        <v>9497</v>
      </c>
      <c r="Q1057" s="116">
        <f>P1057*12</f>
        <v>113964</v>
      </c>
      <c r="R1057" s="147">
        <f>Q1057-L1057</f>
        <v>-16152</v>
      </c>
    </row>
    <row r="1058" spans="1:18" s="148" customFormat="1" ht="18" customHeight="1" x14ac:dyDescent="0.25">
      <c r="A1058" s="185"/>
      <c r="B1058" s="140"/>
      <c r="C1058" s="140"/>
      <c r="D1058" s="140"/>
      <c r="E1058" s="156"/>
      <c r="F1058" s="140"/>
      <c r="G1058" s="142"/>
      <c r="H1058" s="143"/>
      <c r="I1058" s="187"/>
      <c r="J1058" s="145"/>
      <c r="K1058" s="187"/>
      <c r="L1058" s="145"/>
      <c r="M1058" s="146"/>
      <c r="N1058" s="115"/>
      <c r="O1058" s="115"/>
      <c r="P1058" s="116"/>
      <c r="Q1058" s="116"/>
      <c r="R1058" s="117"/>
    </row>
    <row r="1059" spans="1:18" s="148" customFormat="1" ht="18" customHeight="1" x14ac:dyDescent="0.25">
      <c r="A1059" s="185">
        <v>21</v>
      </c>
      <c r="B1059" s="140"/>
      <c r="C1059" s="140"/>
      <c r="D1059" s="140"/>
      <c r="E1059" s="156" t="s">
        <v>159</v>
      </c>
      <c r="F1059" s="140"/>
      <c r="G1059" s="142"/>
      <c r="H1059" s="143" t="s">
        <v>160</v>
      </c>
      <c r="I1059" s="187" t="s">
        <v>161</v>
      </c>
      <c r="J1059" s="145">
        <f>11008*12</f>
        <v>132096</v>
      </c>
      <c r="K1059" s="187" t="s">
        <v>161</v>
      </c>
      <c r="L1059" s="145">
        <v>137628</v>
      </c>
      <c r="M1059" s="146">
        <f>L1059-J1059</f>
        <v>5532</v>
      </c>
      <c r="N1059" s="115">
        <f>L1059-J1059</f>
        <v>5532</v>
      </c>
      <c r="O1059" s="115">
        <f>N1059-M1059</f>
        <v>0</v>
      </c>
      <c r="P1059" s="116">
        <v>10084</v>
      </c>
      <c r="Q1059" s="116">
        <f>P1059*12</f>
        <v>121008</v>
      </c>
      <c r="R1059" s="147">
        <f>Q1059-L1059</f>
        <v>-16620</v>
      </c>
    </row>
    <row r="1060" spans="1:18" s="148" customFormat="1" ht="18" customHeight="1" x14ac:dyDescent="0.25">
      <c r="A1060" s="185"/>
      <c r="B1060" s="140"/>
      <c r="C1060" s="140"/>
      <c r="D1060" s="140"/>
      <c r="E1060" s="139"/>
      <c r="F1060" s="200"/>
      <c r="G1060" s="142"/>
      <c r="H1060" s="143"/>
      <c r="I1060" s="208"/>
      <c r="J1060" s="247"/>
      <c r="K1060" s="208"/>
      <c r="L1060" s="247"/>
      <c r="M1060" s="146"/>
      <c r="N1060" s="115"/>
      <c r="O1060" s="115"/>
      <c r="P1060" s="116"/>
      <c r="Q1060" s="116"/>
      <c r="R1060" s="117"/>
    </row>
    <row r="1061" spans="1:18" s="170" customFormat="1" ht="18" customHeight="1" thickBot="1" x14ac:dyDescent="0.3">
      <c r="A1061" s="163"/>
      <c r="B1061" s="160"/>
      <c r="C1061" s="160"/>
      <c r="D1061" s="160"/>
      <c r="E1061" s="189"/>
      <c r="F1061" s="160"/>
      <c r="G1061" s="162"/>
      <c r="H1061" s="163" t="s">
        <v>162</v>
      </c>
      <c r="I1061" s="190"/>
      <c r="J1061" s="166">
        <f>SUM(J1007:J1060)</f>
        <v>3185436</v>
      </c>
      <c r="K1061" s="190"/>
      <c r="L1061" s="166"/>
      <c r="M1061" s="166">
        <f>SUM(M1007:M1060)</f>
        <v>126497</v>
      </c>
      <c r="N1061" s="167"/>
      <c r="O1061" s="167"/>
      <c r="P1061" s="168"/>
      <c r="Q1061" s="168"/>
      <c r="R1061" s="169"/>
    </row>
    <row r="1062" spans="1:18" s="170" customFormat="1" ht="18" customHeight="1" thickTop="1" x14ac:dyDescent="0.25">
      <c r="A1062" s="191"/>
      <c r="B1062" s="191"/>
      <c r="C1062" s="191"/>
      <c r="D1062" s="191"/>
      <c r="E1062" s="191"/>
      <c r="F1062" s="191"/>
      <c r="G1062" s="192"/>
      <c r="H1062" s="191"/>
      <c r="I1062" s="191"/>
      <c r="J1062" s="173"/>
      <c r="K1062" s="193"/>
      <c r="L1062" s="173"/>
      <c r="M1062" s="173"/>
      <c r="N1062" s="167"/>
      <c r="O1062" s="167"/>
      <c r="P1062" s="168"/>
      <c r="Q1062" s="168"/>
      <c r="R1062" s="169"/>
    </row>
    <row r="1063" spans="1:18" s="170" customFormat="1" ht="18" customHeight="1" x14ac:dyDescent="0.25">
      <c r="A1063" s="191"/>
      <c r="B1063" s="191"/>
      <c r="C1063" s="191"/>
      <c r="D1063" s="191"/>
      <c r="E1063" s="191"/>
      <c r="F1063" s="191"/>
      <c r="G1063" s="192"/>
      <c r="H1063" s="191"/>
      <c r="I1063" s="191"/>
      <c r="J1063" s="173"/>
      <c r="K1063" s="193"/>
      <c r="L1063" s="173"/>
      <c r="M1063" s="173"/>
      <c r="N1063" s="167"/>
      <c r="O1063" s="167"/>
      <c r="P1063" s="168"/>
      <c r="Q1063" s="168"/>
      <c r="R1063" s="169"/>
    </row>
    <row r="1064" spans="1:18" ht="18" customHeight="1" x14ac:dyDescent="0.2">
      <c r="A1064" s="111"/>
      <c r="B1064" s="111"/>
      <c r="C1064" s="930"/>
      <c r="D1064" s="930"/>
      <c r="E1064" s="111"/>
      <c r="F1064" s="111"/>
      <c r="G1064" s="111"/>
      <c r="H1064" s="111"/>
      <c r="I1064" s="111"/>
      <c r="J1064" s="111"/>
      <c r="K1064" s="112"/>
      <c r="M1064" s="113"/>
    </row>
    <row r="1065" spans="1:18" ht="18" customHeight="1" x14ac:dyDescent="0.2">
      <c r="A1065" s="111"/>
      <c r="B1065" s="111"/>
      <c r="C1065" s="930"/>
      <c r="D1065" s="930"/>
      <c r="E1065" s="111"/>
      <c r="F1065" s="111"/>
      <c r="G1065" s="111"/>
      <c r="H1065" s="111"/>
      <c r="I1065" s="111"/>
      <c r="J1065" s="111"/>
      <c r="K1065" s="112"/>
      <c r="M1065" s="113"/>
    </row>
    <row r="1066" spans="1:18" ht="18" customHeight="1" x14ac:dyDescent="0.2">
      <c r="A1066" s="111"/>
      <c r="B1066" s="111"/>
      <c r="C1066" s="930"/>
      <c r="D1066" s="930"/>
      <c r="E1066" s="111"/>
      <c r="F1066" s="111"/>
      <c r="G1066" s="111"/>
      <c r="H1066" s="111"/>
      <c r="I1066" s="111"/>
      <c r="J1066" s="111"/>
      <c r="K1066" s="112"/>
      <c r="M1066" s="113"/>
    </row>
    <row r="1067" spans="1:18" ht="20.100000000000001" customHeight="1" x14ac:dyDescent="0.35">
      <c r="A1067" s="1142" t="s">
        <v>1022</v>
      </c>
      <c r="B1067" s="1142"/>
      <c r="C1067" s="1142"/>
      <c r="D1067" s="1142"/>
      <c r="E1067" s="1142"/>
      <c r="F1067" s="1142"/>
      <c r="G1067" s="1142"/>
      <c r="H1067" s="1142"/>
      <c r="I1067" s="1142"/>
      <c r="J1067" s="1142"/>
      <c r="K1067" s="1142"/>
      <c r="L1067" s="1142"/>
      <c r="M1067" s="1142"/>
    </row>
    <row r="1068" spans="1:18" ht="18" customHeight="1" x14ac:dyDescent="0.2">
      <c r="A1068" s="110"/>
      <c r="B1068" s="110"/>
      <c r="C1068" s="937"/>
      <c r="D1068" s="937"/>
      <c r="E1068" s="111"/>
      <c r="F1068" s="111"/>
      <c r="G1068" s="111"/>
      <c r="H1068" s="111"/>
      <c r="I1068" s="111"/>
      <c r="J1068" s="111"/>
      <c r="K1068" s="112"/>
      <c r="M1068" s="114"/>
    </row>
    <row r="1069" spans="1:18" ht="18" customHeight="1" x14ac:dyDescent="0.3">
      <c r="A1069" s="1119" t="s">
        <v>1549</v>
      </c>
      <c r="B1069" s="1119"/>
      <c r="C1069" s="1119"/>
      <c r="D1069" s="1119"/>
      <c r="E1069" s="1119"/>
      <c r="F1069" s="1119"/>
      <c r="G1069" s="1119"/>
      <c r="H1069" s="1119"/>
      <c r="I1069" s="1119"/>
      <c r="J1069" s="1119"/>
      <c r="K1069" s="1119"/>
      <c r="L1069" s="1119"/>
      <c r="M1069" s="1119"/>
    </row>
    <row r="1070" spans="1:18" ht="18" customHeight="1" x14ac:dyDescent="0.3">
      <c r="A1070" s="1120" t="s">
        <v>364</v>
      </c>
      <c r="B1070" s="1120"/>
      <c r="C1070" s="1120"/>
      <c r="D1070" s="1120"/>
      <c r="E1070" s="1120"/>
      <c r="F1070" s="1120"/>
      <c r="G1070" s="1120"/>
      <c r="H1070" s="1120"/>
      <c r="I1070" s="1120"/>
      <c r="J1070" s="1120"/>
      <c r="K1070" s="1120"/>
      <c r="L1070" s="1120"/>
      <c r="M1070" s="1120"/>
    </row>
    <row r="1071" spans="1:18" ht="18" customHeight="1" x14ac:dyDescent="0.2">
      <c r="A1071" s="1121"/>
      <c r="B1071" s="1121"/>
      <c r="C1071" s="1121"/>
      <c r="D1071" s="1121"/>
      <c r="E1071" s="1121"/>
      <c r="F1071" s="1121"/>
      <c r="G1071" s="1121"/>
      <c r="H1071" s="1121"/>
      <c r="I1071" s="1121"/>
      <c r="J1071" s="1121"/>
      <c r="K1071" s="1121"/>
      <c r="L1071" s="1121"/>
      <c r="M1071" s="1121"/>
    </row>
    <row r="1072" spans="1:18" ht="18" customHeight="1" x14ac:dyDescent="0.2">
      <c r="A1072" s="930"/>
      <c r="B1072" s="930"/>
      <c r="C1072" s="930"/>
      <c r="D1072" s="930"/>
      <c r="E1072" s="930"/>
      <c r="F1072" s="930"/>
      <c r="G1072" s="930"/>
      <c r="H1072" s="930"/>
      <c r="I1072" s="930"/>
      <c r="J1072" s="930"/>
      <c r="K1072" s="930"/>
      <c r="L1072" s="930"/>
      <c r="M1072" s="930"/>
    </row>
    <row r="1073" spans="1:18" ht="18" customHeight="1" x14ac:dyDescent="0.2">
      <c r="A1073" s="111" t="s">
        <v>453</v>
      </c>
      <c r="B1073" s="111"/>
      <c r="C1073" s="111" t="s">
        <v>455</v>
      </c>
      <c r="D1073" s="111" t="s">
        <v>484</v>
      </c>
      <c r="E1073" s="111"/>
      <c r="F1073" s="111"/>
      <c r="G1073" s="111"/>
      <c r="H1073" s="111"/>
      <c r="I1073" s="112"/>
      <c r="J1073" s="930"/>
      <c r="K1073" s="930"/>
      <c r="L1073" s="930"/>
      <c r="M1073" s="930"/>
    </row>
    <row r="1074" spans="1:18" ht="18" customHeight="1" x14ac:dyDescent="0.25">
      <c r="A1074" s="111" t="s">
        <v>458</v>
      </c>
      <c r="B1074" s="111"/>
      <c r="C1074" s="111" t="s">
        <v>455</v>
      </c>
      <c r="D1074" s="111" t="s">
        <v>485</v>
      </c>
      <c r="E1074" s="111"/>
      <c r="F1074" s="111"/>
      <c r="G1074" s="111"/>
      <c r="H1074" s="111"/>
      <c r="I1074" s="112"/>
      <c r="J1074" s="930"/>
      <c r="K1074" s="930"/>
      <c r="L1074" s="930"/>
      <c r="M1074" s="930"/>
      <c r="N1074" s="182"/>
    </row>
    <row r="1075" spans="1:18" ht="18" customHeight="1" thickBot="1" x14ac:dyDescent="0.3">
      <c r="A1075" s="111" t="s">
        <v>462</v>
      </c>
      <c r="B1075" s="111"/>
      <c r="C1075" s="111" t="s">
        <v>455</v>
      </c>
      <c r="D1075" s="111" t="s">
        <v>694</v>
      </c>
      <c r="E1075" s="111"/>
      <c r="F1075" s="111"/>
      <c r="G1075" s="111"/>
      <c r="H1075" s="111"/>
      <c r="I1075" s="112"/>
      <c r="J1075" s="930"/>
      <c r="K1075" s="930"/>
      <c r="L1075" s="930"/>
      <c r="M1075" s="930"/>
      <c r="N1075" s="182"/>
    </row>
    <row r="1076" spans="1:18" ht="18" customHeight="1" x14ac:dyDescent="0.25">
      <c r="A1076" s="1122" t="s">
        <v>642</v>
      </c>
      <c r="B1076" s="1123"/>
      <c r="C1076" s="1123"/>
      <c r="D1076" s="1123"/>
      <c r="E1076" s="1124"/>
      <c r="F1076" s="1123"/>
      <c r="G1076" s="1125"/>
      <c r="H1076" s="121"/>
      <c r="I1076" s="1126" t="s">
        <v>646</v>
      </c>
      <c r="J1076" s="1127"/>
      <c r="K1076" s="1126" t="s">
        <v>646</v>
      </c>
      <c r="L1076" s="1127"/>
      <c r="M1076" s="122"/>
      <c r="N1076" s="182"/>
    </row>
    <row r="1077" spans="1:18" ht="18" customHeight="1" x14ac:dyDescent="0.2">
      <c r="A1077" s="123" t="s">
        <v>643</v>
      </c>
      <c r="B1077" s="1133" t="s">
        <v>644</v>
      </c>
      <c r="C1077" s="1134"/>
      <c r="D1077" s="1135"/>
      <c r="E1077" s="1136" t="s">
        <v>45</v>
      </c>
      <c r="F1077" s="1137"/>
      <c r="G1077" s="1138"/>
      <c r="H1077" s="934" t="s">
        <v>46</v>
      </c>
      <c r="I1077" s="1136" t="s">
        <v>1492</v>
      </c>
      <c r="J1077" s="1138"/>
      <c r="K1077" s="1137" t="s">
        <v>1550</v>
      </c>
      <c r="L1077" s="1138"/>
      <c r="M1077" s="124" t="s">
        <v>47</v>
      </c>
    </row>
    <row r="1078" spans="1:18" ht="18" customHeight="1" x14ac:dyDescent="0.2">
      <c r="A1078" s="125"/>
      <c r="B1078" s="934"/>
      <c r="C1078" s="935"/>
      <c r="D1078" s="935"/>
      <c r="E1078" s="934"/>
      <c r="F1078" s="935"/>
      <c r="G1078" s="936"/>
      <c r="H1078" s="934" t="s">
        <v>48</v>
      </c>
      <c r="I1078" s="1139" t="s">
        <v>1551</v>
      </c>
      <c r="J1078" s="1140"/>
      <c r="K1078" s="1139"/>
      <c r="L1078" s="1140"/>
      <c r="M1078" s="124" t="s">
        <v>49</v>
      </c>
    </row>
    <row r="1079" spans="1:18" ht="18" customHeight="1" x14ac:dyDescent="0.2">
      <c r="A1079" s="125"/>
      <c r="B1079" s="934"/>
      <c r="C1079" s="935"/>
      <c r="D1079" s="935"/>
      <c r="E1079" s="934"/>
      <c r="F1079" s="935"/>
      <c r="G1079" s="126"/>
      <c r="H1079" s="127"/>
      <c r="I1079" s="128" t="s">
        <v>645</v>
      </c>
      <c r="J1079" s="129" t="s">
        <v>50</v>
      </c>
      <c r="K1079" s="128" t="s">
        <v>645</v>
      </c>
      <c r="L1079" s="129" t="s">
        <v>50</v>
      </c>
      <c r="M1079" s="124"/>
    </row>
    <row r="1080" spans="1:18" ht="18" customHeight="1" thickBot="1" x14ac:dyDescent="0.25">
      <c r="A1080" s="130"/>
      <c r="B1080" s="1128"/>
      <c r="C1080" s="1129"/>
      <c r="D1080" s="1130"/>
      <c r="E1080" s="1128"/>
      <c r="F1080" s="1129"/>
      <c r="G1080" s="1130"/>
      <c r="H1080" s="131"/>
      <c r="I1080" s="131"/>
      <c r="J1080" s="131"/>
      <c r="K1080" s="131"/>
      <c r="L1080" s="131"/>
      <c r="M1080" s="132"/>
    </row>
    <row r="1081" spans="1:18" ht="18" customHeight="1" x14ac:dyDescent="0.2">
      <c r="A1081" s="183"/>
      <c r="B1081" s="119"/>
      <c r="C1081" s="119"/>
      <c r="D1081" s="119"/>
      <c r="E1081" s="133"/>
      <c r="F1081" s="119"/>
      <c r="G1081" s="220"/>
      <c r="H1081" s="183"/>
      <c r="I1081" s="183"/>
      <c r="J1081" s="183"/>
      <c r="K1081" s="183"/>
      <c r="L1081" s="183"/>
      <c r="M1081" s="183"/>
    </row>
    <row r="1082" spans="1:18" s="148" customFormat="1" ht="18" customHeight="1" x14ac:dyDescent="0.25">
      <c r="A1082" s="185">
        <v>22</v>
      </c>
      <c r="B1082" s="140"/>
      <c r="C1082" s="140"/>
      <c r="D1082" s="140"/>
      <c r="E1082" s="156" t="s">
        <v>165</v>
      </c>
      <c r="F1082" s="140"/>
      <c r="G1082" s="142"/>
      <c r="H1082" s="143" t="s">
        <v>166</v>
      </c>
      <c r="I1082" s="187" t="s">
        <v>913</v>
      </c>
      <c r="J1082" s="145">
        <f>11324*12</f>
        <v>135888</v>
      </c>
      <c r="K1082" s="187" t="s">
        <v>913</v>
      </c>
      <c r="L1082" s="145">
        <v>141660</v>
      </c>
      <c r="M1082" s="146">
        <f>L1082-J1082</f>
        <v>5772</v>
      </c>
      <c r="N1082" s="115">
        <f>L1082-J1082</f>
        <v>5772</v>
      </c>
      <c r="O1082" s="115">
        <f>N1082-M1082</f>
        <v>0</v>
      </c>
      <c r="P1082" s="116">
        <v>10295</v>
      </c>
      <c r="Q1082" s="116">
        <f>P1082*12</f>
        <v>123540</v>
      </c>
      <c r="R1082" s="147">
        <f>Q1082-L1082</f>
        <v>-18120</v>
      </c>
    </row>
    <row r="1083" spans="1:18" s="148" customFormat="1" ht="18" customHeight="1" x14ac:dyDescent="0.25">
      <c r="A1083" s="185"/>
      <c r="B1083" s="140"/>
      <c r="C1083" s="140"/>
      <c r="D1083" s="140"/>
      <c r="E1083" s="156"/>
      <c r="F1083" s="140"/>
      <c r="G1083" s="142"/>
      <c r="H1083" s="143"/>
      <c r="I1083" s="187"/>
      <c r="J1083" s="145"/>
      <c r="K1083" s="187" t="s">
        <v>1561</v>
      </c>
      <c r="L1083" s="145">
        <v>142752</v>
      </c>
      <c r="M1083" s="146">
        <v>728</v>
      </c>
      <c r="N1083" s="115"/>
      <c r="O1083" s="115"/>
      <c r="P1083" s="116"/>
      <c r="Q1083" s="116"/>
      <c r="R1083" s="147"/>
    </row>
    <row r="1084" spans="1:18" s="148" customFormat="1" ht="18" customHeight="1" x14ac:dyDescent="0.25">
      <c r="A1084" s="185"/>
      <c r="B1084" s="140"/>
      <c r="C1084" s="140"/>
      <c r="D1084" s="140"/>
      <c r="E1084" s="156"/>
      <c r="F1084" s="140"/>
      <c r="G1084" s="142"/>
      <c r="H1084" s="143"/>
      <c r="I1084" s="187"/>
      <c r="J1084" s="145"/>
      <c r="K1084" s="187"/>
      <c r="L1084" s="151">
        <v>44320</v>
      </c>
      <c r="M1084" s="146"/>
      <c r="N1084" s="115"/>
      <c r="O1084" s="115"/>
      <c r="P1084" s="116">
        <v>10380</v>
      </c>
      <c r="Q1084" s="116">
        <f>P1084*12</f>
        <v>124560</v>
      </c>
      <c r="R1084" s="147">
        <f>Q1084-L1084</f>
        <v>80240</v>
      </c>
    </row>
    <row r="1085" spans="1:18" s="148" customFormat="1" ht="18" customHeight="1" x14ac:dyDescent="0.25">
      <c r="A1085" s="185"/>
      <c r="B1085" s="140"/>
      <c r="C1085" s="140"/>
      <c r="D1085" s="140"/>
      <c r="E1085" s="156"/>
      <c r="F1085" s="140"/>
      <c r="G1085" s="142"/>
      <c r="H1085" s="143"/>
      <c r="I1085" s="187"/>
      <c r="J1085" s="151"/>
      <c r="K1085" s="187"/>
      <c r="L1085" s="151"/>
      <c r="M1085" s="146"/>
      <c r="N1085" s="115"/>
      <c r="O1085" s="115"/>
      <c r="P1085" s="116"/>
      <c r="Q1085" s="116"/>
      <c r="R1085" s="117"/>
    </row>
    <row r="1086" spans="1:18" s="148" customFormat="1" ht="18" customHeight="1" x14ac:dyDescent="0.25">
      <c r="A1086" s="185"/>
      <c r="B1086" s="140"/>
      <c r="C1086" s="140"/>
      <c r="D1086" s="140"/>
      <c r="E1086" s="156"/>
      <c r="F1086" s="140"/>
      <c r="G1086" s="142"/>
      <c r="H1086" s="143"/>
      <c r="I1086" s="188"/>
      <c r="J1086" s="145"/>
      <c r="K1086" s="188"/>
      <c r="L1086" s="145"/>
      <c r="M1086" s="146"/>
      <c r="N1086" s="115"/>
      <c r="O1086" s="115"/>
      <c r="P1086" s="116"/>
      <c r="Q1086" s="116"/>
      <c r="R1086" s="117"/>
    </row>
    <row r="1087" spans="1:18" s="148" customFormat="1" ht="18" customHeight="1" x14ac:dyDescent="0.25">
      <c r="A1087" s="185">
        <v>23</v>
      </c>
      <c r="B1087" s="140"/>
      <c r="C1087" s="140"/>
      <c r="D1087" s="140"/>
      <c r="E1087" s="156" t="s">
        <v>165</v>
      </c>
      <c r="F1087" s="140"/>
      <c r="G1087" s="142"/>
      <c r="H1087" s="143" t="s">
        <v>167</v>
      </c>
      <c r="I1087" s="187" t="s">
        <v>913</v>
      </c>
      <c r="J1087" s="145">
        <f>11324*12</f>
        <v>135888</v>
      </c>
      <c r="K1087" s="187" t="s">
        <v>913</v>
      </c>
      <c r="L1087" s="145">
        <v>141660</v>
      </c>
      <c r="M1087" s="146">
        <f>L1087-J1087</f>
        <v>5772</v>
      </c>
      <c r="N1087" s="115">
        <f>L1087-J1087</f>
        <v>5772</v>
      </c>
      <c r="O1087" s="115">
        <f>N1087-M1087</f>
        <v>0</v>
      </c>
      <c r="P1087" s="116">
        <v>10295</v>
      </c>
      <c r="Q1087" s="116">
        <f>P1087*12</f>
        <v>123540</v>
      </c>
      <c r="R1087" s="147">
        <f>Q1087-L1087</f>
        <v>-18120</v>
      </c>
    </row>
    <row r="1088" spans="1:18" s="148" customFormat="1" ht="18" customHeight="1" x14ac:dyDescent="0.25">
      <c r="A1088" s="185"/>
      <c r="B1088" s="140"/>
      <c r="C1088" s="140"/>
      <c r="D1088" s="140"/>
      <c r="E1088" s="156"/>
      <c r="F1088" s="140"/>
      <c r="G1088" s="142"/>
      <c r="H1088" s="143"/>
      <c r="I1088" s="187"/>
      <c r="J1088" s="145"/>
      <c r="K1088" s="187" t="s">
        <v>1561</v>
      </c>
      <c r="L1088" s="145">
        <v>142752</v>
      </c>
      <c r="M1088" s="146">
        <v>728</v>
      </c>
      <c r="N1088" s="115"/>
      <c r="O1088" s="115"/>
      <c r="P1088" s="116">
        <v>10380</v>
      </c>
      <c r="Q1088" s="116">
        <f>P1088*12</f>
        <v>124560</v>
      </c>
      <c r="R1088" s="147">
        <f>Q1088-L1088</f>
        <v>-18192</v>
      </c>
    </row>
    <row r="1089" spans="1:18" s="148" customFormat="1" ht="18" customHeight="1" x14ac:dyDescent="0.25">
      <c r="A1089" s="185"/>
      <c r="B1089" s="140"/>
      <c r="C1089" s="140"/>
      <c r="D1089" s="140"/>
      <c r="E1089" s="156"/>
      <c r="F1089" s="140"/>
      <c r="G1089" s="142"/>
      <c r="H1089" s="143"/>
      <c r="I1089" s="188"/>
      <c r="J1089" s="151"/>
      <c r="K1089" s="188"/>
      <c r="L1089" s="151">
        <v>44320</v>
      </c>
      <c r="M1089" s="145"/>
      <c r="N1089" s="115"/>
      <c r="O1089" s="115"/>
      <c r="P1089" s="116"/>
      <c r="Q1089" s="116"/>
      <c r="R1089" s="117"/>
    </row>
    <row r="1090" spans="1:18" s="148" customFormat="1" ht="18" customHeight="1" x14ac:dyDescent="0.25">
      <c r="A1090" s="185"/>
      <c r="B1090" s="140"/>
      <c r="C1090" s="140"/>
      <c r="D1090" s="140"/>
      <c r="E1090" s="139"/>
      <c r="F1090" s="140"/>
      <c r="G1090" s="142"/>
      <c r="H1090" s="143"/>
      <c r="I1090" s="208"/>
      <c r="J1090" s="145"/>
      <c r="K1090" s="208"/>
      <c r="L1090" s="145"/>
      <c r="M1090" s="146"/>
      <c r="N1090" s="115"/>
      <c r="O1090" s="115"/>
      <c r="P1090" s="116"/>
      <c r="Q1090" s="116"/>
      <c r="R1090" s="117"/>
    </row>
    <row r="1091" spans="1:18" s="148" customFormat="1" ht="18" customHeight="1" x14ac:dyDescent="0.25">
      <c r="A1091" s="185"/>
      <c r="B1091" s="140"/>
      <c r="C1091" s="140"/>
      <c r="D1091" s="140"/>
      <c r="E1091" s="139"/>
      <c r="F1091" s="140"/>
      <c r="G1091" s="142"/>
      <c r="H1091" s="143"/>
      <c r="I1091" s="208"/>
      <c r="J1091" s="145"/>
      <c r="K1091" s="208"/>
      <c r="L1091" s="145"/>
      <c r="M1091" s="146"/>
      <c r="N1091" s="115"/>
      <c r="O1091" s="115"/>
      <c r="P1091" s="116"/>
      <c r="Q1091" s="116"/>
      <c r="R1091" s="117"/>
    </row>
    <row r="1092" spans="1:18" s="148" customFormat="1" ht="18" customHeight="1" x14ac:dyDescent="0.25">
      <c r="A1092" s="185"/>
      <c r="B1092" s="1143">
        <v>24</v>
      </c>
      <c r="C1092" s="1144"/>
      <c r="D1092" s="1145"/>
      <c r="E1092" s="156" t="s">
        <v>1651</v>
      </c>
      <c r="F1092" s="938"/>
      <c r="G1092" s="142"/>
      <c r="H1092" s="143" t="s">
        <v>107</v>
      </c>
      <c r="I1092" s="187"/>
      <c r="J1092" s="145"/>
      <c r="K1092" s="187" t="s">
        <v>168</v>
      </c>
      <c r="L1092" s="145">
        <v>186156</v>
      </c>
      <c r="M1092" s="146">
        <f>L1092-J1092</f>
        <v>186156</v>
      </c>
      <c r="N1092" s="115"/>
      <c r="O1092" s="115"/>
      <c r="P1092" s="116"/>
      <c r="Q1092" s="116"/>
      <c r="R1092" s="117"/>
    </row>
    <row r="1093" spans="1:18" s="148" customFormat="1" ht="18" customHeight="1" x14ac:dyDescent="0.25">
      <c r="A1093" s="185"/>
      <c r="B1093" s="140"/>
      <c r="C1093" s="140"/>
      <c r="D1093" s="140"/>
      <c r="E1093" s="139"/>
      <c r="F1093" s="140"/>
      <c r="G1093" s="142"/>
      <c r="H1093" s="143" t="s">
        <v>1657</v>
      </c>
      <c r="I1093" s="208"/>
      <c r="J1093" s="145"/>
      <c r="K1093" s="208"/>
      <c r="L1093" s="145"/>
      <c r="M1093" s="146"/>
      <c r="N1093" s="115"/>
      <c r="O1093" s="115"/>
      <c r="P1093" s="116"/>
      <c r="Q1093" s="116"/>
      <c r="R1093" s="117"/>
    </row>
    <row r="1094" spans="1:18" s="148" customFormat="1" ht="18" customHeight="1" x14ac:dyDescent="0.25">
      <c r="A1094" s="185"/>
      <c r="B1094" s="140"/>
      <c r="C1094" s="140"/>
      <c r="D1094" s="140"/>
      <c r="E1094" s="139"/>
      <c r="F1094" s="140"/>
      <c r="G1094" s="142"/>
      <c r="H1094" s="143"/>
      <c r="I1094" s="208"/>
      <c r="J1094" s="145"/>
      <c r="K1094" s="208"/>
      <c r="L1094" s="145"/>
      <c r="M1094" s="146"/>
      <c r="N1094" s="115"/>
      <c r="O1094" s="115"/>
      <c r="P1094" s="116"/>
      <c r="Q1094" s="116"/>
      <c r="R1094" s="117"/>
    </row>
    <row r="1095" spans="1:18" s="148" customFormat="1" ht="18" customHeight="1" x14ac:dyDescent="0.25">
      <c r="A1095" s="185"/>
      <c r="B1095" s="140"/>
      <c r="C1095" s="140"/>
      <c r="D1095" s="140"/>
      <c r="E1095" s="139"/>
      <c r="F1095" s="140"/>
      <c r="G1095" s="142"/>
      <c r="H1095" s="143"/>
      <c r="I1095" s="208"/>
      <c r="J1095" s="145"/>
      <c r="K1095" s="208"/>
      <c r="L1095" s="145"/>
      <c r="M1095" s="146"/>
      <c r="N1095" s="115"/>
      <c r="O1095" s="115"/>
      <c r="P1095" s="116"/>
      <c r="Q1095" s="116"/>
      <c r="R1095" s="117"/>
    </row>
    <row r="1096" spans="1:18" s="148" customFormat="1" ht="18" customHeight="1" x14ac:dyDescent="0.25">
      <c r="A1096" s="185"/>
      <c r="B1096" s="140"/>
      <c r="C1096" s="140"/>
      <c r="D1096" s="140"/>
      <c r="E1096" s="139"/>
      <c r="F1096" s="140"/>
      <c r="G1096" s="142"/>
      <c r="H1096" s="143"/>
      <c r="I1096" s="208"/>
      <c r="J1096" s="145"/>
      <c r="K1096" s="208"/>
      <c r="L1096" s="145"/>
      <c r="M1096" s="146"/>
      <c r="N1096" s="115"/>
      <c r="O1096" s="115"/>
      <c r="P1096" s="116"/>
      <c r="Q1096" s="116"/>
      <c r="R1096" s="117"/>
    </row>
    <row r="1097" spans="1:18" s="148" customFormat="1" ht="18" customHeight="1" x14ac:dyDescent="0.25">
      <c r="A1097" s="185"/>
      <c r="B1097" s="140"/>
      <c r="C1097" s="140"/>
      <c r="D1097" s="140"/>
      <c r="E1097" s="139"/>
      <c r="F1097" s="140"/>
      <c r="G1097" s="142"/>
      <c r="H1097" s="143"/>
      <c r="I1097" s="208"/>
      <c r="J1097" s="145"/>
      <c r="K1097" s="208"/>
      <c r="L1097" s="145"/>
      <c r="M1097" s="146"/>
      <c r="N1097" s="115"/>
      <c r="O1097" s="115"/>
      <c r="P1097" s="116"/>
      <c r="Q1097" s="116"/>
      <c r="R1097" s="117"/>
    </row>
    <row r="1098" spans="1:18" s="148" customFormat="1" ht="18" customHeight="1" x14ac:dyDescent="0.25">
      <c r="A1098" s="185"/>
      <c r="B1098" s="140"/>
      <c r="C1098" s="140"/>
      <c r="D1098" s="140"/>
      <c r="E1098" s="139"/>
      <c r="F1098" s="140"/>
      <c r="G1098" s="142"/>
      <c r="H1098" s="143"/>
      <c r="I1098" s="208"/>
      <c r="J1098" s="145"/>
      <c r="K1098" s="208"/>
      <c r="L1098" s="145"/>
      <c r="M1098" s="146"/>
      <c r="N1098" s="115"/>
      <c r="O1098" s="115"/>
      <c r="P1098" s="116"/>
      <c r="Q1098" s="116"/>
      <c r="R1098" s="117"/>
    </row>
    <row r="1099" spans="1:18" s="148" customFormat="1" ht="18" customHeight="1" x14ac:dyDescent="0.25">
      <c r="A1099" s="185"/>
      <c r="B1099" s="140"/>
      <c r="C1099" s="140"/>
      <c r="D1099" s="140"/>
      <c r="E1099" s="139"/>
      <c r="F1099" s="140"/>
      <c r="G1099" s="142"/>
      <c r="H1099" s="143"/>
      <c r="I1099" s="208"/>
      <c r="J1099" s="145"/>
      <c r="K1099" s="208"/>
      <c r="L1099" s="145"/>
      <c r="M1099" s="146"/>
      <c r="N1099" s="115"/>
      <c r="O1099" s="115"/>
      <c r="P1099" s="116"/>
      <c r="Q1099" s="116"/>
      <c r="R1099" s="117"/>
    </row>
    <row r="1100" spans="1:18" s="148" customFormat="1" ht="18" customHeight="1" x14ac:dyDescent="0.25">
      <c r="A1100" s="185"/>
      <c r="B1100" s="140"/>
      <c r="C1100" s="140"/>
      <c r="D1100" s="140"/>
      <c r="E1100" s="139"/>
      <c r="F1100" s="140"/>
      <c r="G1100" s="142"/>
      <c r="H1100" s="143"/>
      <c r="I1100" s="208"/>
      <c r="J1100" s="145"/>
      <c r="K1100" s="208"/>
      <c r="L1100" s="145"/>
      <c r="M1100" s="146"/>
      <c r="N1100" s="115"/>
      <c r="O1100" s="115"/>
      <c r="P1100" s="116"/>
      <c r="Q1100" s="116"/>
      <c r="R1100" s="117"/>
    </row>
    <row r="1101" spans="1:18" s="148" customFormat="1" ht="18" customHeight="1" x14ac:dyDescent="0.25">
      <c r="A1101" s="185"/>
      <c r="B1101" s="140"/>
      <c r="C1101" s="140"/>
      <c r="D1101" s="140"/>
      <c r="E1101" s="139"/>
      <c r="F1101" s="140"/>
      <c r="G1101" s="142"/>
      <c r="H1101" s="143"/>
      <c r="I1101" s="208"/>
      <c r="J1101" s="145"/>
      <c r="K1101" s="208"/>
      <c r="L1101" s="145"/>
      <c r="M1101" s="146"/>
      <c r="N1101" s="115"/>
      <c r="O1101" s="115"/>
      <c r="P1101" s="116"/>
      <c r="Q1101" s="116"/>
      <c r="R1101" s="117"/>
    </row>
    <row r="1102" spans="1:18" s="148" customFormat="1" ht="18" customHeight="1" x14ac:dyDescent="0.25">
      <c r="A1102" s="185"/>
      <c r="B1102" s="140"/>
      <c r="C1102" s="140"/>
      <c r="D1102" s="140"/>
      <c r="E1102" s="139"/>
      <c r="F1102" s="140"/>
      <c r="G1102" s="142"/>
      <c r="H1102" s="143"/>
      <c r="I1102" s="208"/>
      <c r="J1102" s="145"/>
      <c r="K1102" s="208"/>
      <c r="L1102" s="145"/>
      <c r="M1102" s="145"/>
      <c r="N1102" s="115"/>
      <c r="O1102" s="115"/>
      <c r="P1102" s="116"/>
      <c r="Q1102" s="116"/>
      <c r="R1102" s="117"/>
    </row>
    <row r="1103" spans="1:18" s="148" customFormat="1" ht="18" customHeight="1" x14ac:dyDescent="0.25">
      <c r="A1103" s="185"/>
      <c r="B1103" s="140"/>
      <c r="C1103" s="140"/>
      <c r="D1103" s="140"/>
      <c r="E1103" s="139"/>
      <c r="F1103" s="140"/>
      <c r="G1103" s="142"/>
      <c r="H1103" s="143"/>
      <c r="I1103" s="208"/>
      <c r="J1103" s="145"/>
      <c r="K1103" s="208"/>
      <c r="L1103" s="145"/>
      <c r="M1103" s="146"/>
      <c r="N1103" s="115"/>
      <c r="O1103" s="115"/>
      <c r="P1103" s="116"/>
      <c r="Q1103" s="116"/>
      <c r="R1103" s="117"/>
    </row>
    <row r="1104" spans="1:18" s="148" customFormat="1" ht="18" customHeight="1" x14ac:dyDescent="0.25">
      <c r="A1104" s="185"/>
      <c r="B1104" s="140"/>
      <c r="C1104" s="140"/>
      <c r="D1104" s="140"/>
      <c r="E1104" s="139"/>
      <c r="F1104" s="140"/>
      <c r="G1104" s="142"/>
      <c r="H1104" s="143"/>
      <c r="I1104" s="208"/>
      <c r="J1104" s="145"/>
      <c r="K1104" s="208"/>
      <c r="L1104" s="145"/>
      <c r="M1104" s="146"/>
      <c r="N1104" s="115"/>
      <c r="O1104" s="115"/>
      <c r="P1104" s="116"/>
      <c r="Q1104" s="116"/>
      <c r="R1104" s="117"/>
    </row>
    <row r="1105" spans="1:18" s="148" customFormat="1" ht="18" customHeight="1" x14ac:dyDescent="0.25">
      <c r="A1105" s="185"/>
      <c r="B1105" s="140"/>
      <c r="C1105" s="140"/>
      <c r="D1105" s="140"/>
      <c r="E1105" s="139"/>
      <c r="F1105" s="140"/>
      <c r="G1105" s="142"/>
      <c r="H1105" s="143"/>
      <c r="I1105" s="208"/>
      <c r="J1105" s="247"/>
      <c r="K1105" s="208"/>
      <c r="L1105" s="247"/>
      <c r="M1105" s="146"/>
      <c r="N1105" s="115"/>
      <c r="O1105" s="115"/>
      <c r="P1105" s="116"/>
      <c r="Q1105" s="116"/>
      <c r="R1105" s="117"/>
    </row>
    <row r="1106" spans="1:18" s="148" customFormat="1" ht="18" customHeight="1" x14ac:dyDescent="0.25">
      <c r="A1106" s="185"/>
      <c r="B1106" s="140"/>
      <c r="C1106" s="140"/>
      <c r="D1106" s="140"/>
      <c r="E1106" s="139"/>
      <c r="F1106" s="140"/>
      <c r="G1106" s="142"/>
      <c r="H1106" s="143"/>
      <c r="I1106" s="144"/>
      <c r="J1106" s="145"/>
      <c r="K1106" s="144"/>
      <c r="L1106" s="145"/>
      <c r="M1106" s="145"/>
      <c r="N1106" s="115"/>
      <c r="O1106" s="115"/>
      <c r="P1106" s="116"/>
      <c r="Q1106" s="116"/>
      <c r="R1106" s="117"/>
    </row>
    <row r="1107" spans="1:18" s="148" customFormat="1" ht="18" customHeight="1" x14ac:dyDescent="0.25">
      <c r="A1107" s="185"/>
      <c r="B1107" s="140"/>
      <c r="C1107" s="140"/>
      <c r="D1107" s="140"/>
      <c r="E1107" s="139"/>
      <c r="F1107" s="140"/>
      <c r="G1107" s="142"/>
      <c r="H1107" s="143"/>
      <c r="I1107" s="208"/>
      <c r="J1107" s="145"/>
      <c r="K1107" s="208"/>
      <c r="L1107" s="145"/>
      <c r="M1107" s="146"/>
      <c r="N1107" s="115"/>
      <c r="O1107" s="115"/>
      <c r="P1107" s="116"/>
      <c r="Q1107" s="116"/>
      <c r="R1107" s="117"/>
    </row>
    <row r="1108" spans="1:18" s="148" customFormat="1" ht="18" customHeight="1" x14ac:dyDescent="0.25">
      <c r="A1108" s="185"/>
      <c r="B1108" s="140"/>
      <c r="C1108" s="140"/>
      <c r="D1108" s="140"/>
      <c r="E1108" s="139"/>
      <c r="F1108" s="140"/>
      <c r="G1108" s="142"/>
      <c r="H1108" s="143"/>
      <c r="I1108" s="208"/>
      <c r="J1108" s="145"/>
      <c r="K1108" s="208"/>
      <c r="L1108" s="145"/>
      <c r="M1108" s="146"/>
      <c r="N1108" s="115"/>
      <c r="O1108" s="115"/>
      <c r="P1108" s="116"/>
      <c r="Q1108" s="116"/>
      <c r="R1108" s="117"/>
    </row>
    <row r="1109" spans="1:18" s="148" customFormat="1" ht="18" customHeight="1" x14ac:dyDescent="0.25">
      <c r="A1109" s="185"/>
      <c r="B1109" s="140"/>
      <c r="C1109" s="140"/>
      <c r="D1109" s="140"/>
      <c r="E1109" s="139"/>
      <c r="F1109" s="140"/>
      <c r="G1109" s="142"/>
      <c r="H1109" s="143"/>
      <c r="I1109" s="208"/>
      <c r="J1109" s="145"/>
      <c r="K1109" s="208"/>
      <c r="L1109" s="145"/>
      <c r="M1109" s="145"/>
      <c r="N1109" s="115"/>
      <c r="O1109" s="115"/>
      <c r="P1109" s="116"/>
      <c r="Q1109" s="116"/>
      <c r="R1109" s="117"/>
    </row>
    <row r="1110" spans="1:18" s="148" customFormat="1" ht="18" customHeight="1" x14ac:dyDescent="0.25">
      <c r="A1110" s="185"/>
      <c r="B1110" s="140"/>
      <c r="C1110" s="140"/>
      <c r="D1110" s="140"/>
      <c r="E1110" s="139"/>
      <c r="F1110" s="140"/>
      <c r="G1110" s="142"/>
      <c r="H1110" s="143"/>
      <c r="I1110" s="208"/>
      <c r="J1110" s="145"/>
      <c r="K1110" s="208"/>
      <c r="L1110" s="145"/>
      <c r="M1110" s="146"/>
      <c r="N1110" s="115"/>
      <c r="O1110" s="115"/>
      <c r="P1110" s="116"/>
      <c r="Q1110" s="116"/>
      <c r="R1110" s="117"/>
    </row>
    <row r="1111" spans="1:18" s="148" customFormat="1" ht="18" customHeight="1" x14ac:dyDescent="0.25">
      <c r="A1111" s="185"/>
      <c r="B1111" s="140"/>
      <c r="C1111" s="140"/>
      <c r="D1111" s="140"/>
      <c r="E1111" s="139"/>
      <c r="F1111" s="140"/>
      <c r="G1111" s="142"/>
      <c r="H1111" s="143"/>
      <c r="I1111" s="208"/>
      <c r="J1111" s="145"/>
      <c r="K1111" s="208"/>
      <c r="L1111" s="145"/>
      <c r="M1111" s="145"/>
      <c r="N1111" s="115"/>
      <c r="O1111" s="115"/>
      <c r="P1111" s="116"/>
      <c r="Q1111" s="116"/>
      <c r="R1111" s="117"/>
    </row>
    <row r="1112" spans="1:18" s="148" customFormat="1" ht="18" customHeight="1" x14ac:dyDescent="0.25">
      <c r="A1112" s="199"/>
      <c r="B1112" s="140"/>
      <c r="C1112" s="140"/>
      <c r="D1112" s="140"/>
      <c r="E1112" s="139"/>
      <c r="F1112" s="140"/>
      <c r="G1112" s="142"/>
      <c r="H1112" s="143"/>
      <c r="I1112" s="208"/>
      <c r="J1112" s="145"/>
      <c r="K1112" s="208"/>
      <c r="L1112" s="145"/>
      <c r="M1112" s="146"/>
      <c r="N1112" s="115"/>
      <c r="O1112" s="115"/>
      <c r="P1112" s="116"/>
      <c r="Q1112" s="116"/>
      <c r="R1112" s="117"/>
    </row>
    <row r="1113" spans="1:18" s="148" customFormat="1" ht="18" customHeight="1" x14ac:dyDescent="0.25">
      <c r="A1113" s="207"/>
      <c r="B1113" s="248"/>
      <c r="C1113" s="248"/>
      <c r="D1113" s="248"/>
      <c r="E1113" s="249"/>
      <c r="F1113" s="248"/>
      <c r="G1113" s="250"/>
      <c r="H1113" s="207" t="s">
        <v>169</v>
      </c>
      <c r="I1113" s="252"/>
      <c r="J1113" s="251">
        <f>SUM(J1082:J1112)</f>
        <v>271776</v>
      </c>
      <c r="K1113" s="252"/>
      <c r="L1113" s="251"/>
      <c r="M1113" s="251">
        <f>SUM(M1082:M1112)</f>
        <v>199156</v>
      </c>
      <c r="N1113" s="115"/>
      <c r="O1113" s="115"/>
      <c r="P1113" s="116"/>
      <c r="Q1113" s="116"/>
      <c r="R1113" s="117"/>
    </row>
    <row r="1114" spans="1:18" s="148" customFormat="1" ht="18" customHeight="1" x14ac:dyDescent="0.25">
      <c r="A1114" s="185"/>
      <c r="B1114" s="140"/>
      <c r="C1114" s="140"/>
      <c r="D1114" s="140"/>
      <c r="E1114" s="139"/>
      <c r="F1114" s="140"/>
      <c r="G1114" s="142"/>
      <c r="H1114" s="143"/>
      <c r="I1114" s="208"/>
      <c r="J1114" s="247"/>
      <c r="K1114" s="208"/>
      <c r="L1114" s="247"/>
      <c r="M1114" s="146"/>
      <c r="N1114" s="115"/>
      <c r="O1114" s="115"/>
      <c r="P1114" s="116"/>
      <c r="Q1114" s="116"/>
      <c r="R1114" s="117"/>
    </row>
    <row r="1115" spans="1:18" s="148" customFormat="1" ht="18" customHeight="1" x14ac:dyDescent="0.25">
      <c r="A1115" s="185"/>
      <c r="B1115" s="140"/>
      <c r="C1115" s="140"/>
      <c r="D1115" s="140"/>
      <c r="E1115" s="139"/>
      <c r="F1115" s="140"/>
      <c r="G1115" s="142"/>
      <c r="H1115" s="143"/>
      <c r="I1115" s="144"/>
      <c r="J1115" s="247"/>
      <c r="K1115" s="144"/>
      <c r="L1115" s="247"/>
      <c r="M1115" s="145"/>
      <c r="N1115" s="115"/>
      <c r="O1115" s="115"/>
      <c r="P1115" s="116"/>
      <c r="Q1115" s="116"/>
      <c r="R1115" s="117"/>
    </row>
    <row r="1116" spans="1:18" s="148" customFormat="1" ht="18" customHeight="1" x14ac:dyDescent="0.25">
      <c r="A1116" s="253"/>
      <c r="B1116" s="254"/>
      <c r="C1116" s="254"/>
      <c r="D1116" s="254"/>
      <c r="E1116" s="255"/>
      <c r="F1116" s="254"/>
      <c r="G1116" s="256"/>
      <c r="H1116" s="207" t="s">
        <v>43</v>
      </c>
      <c r="I1116" s="257"/>
      <c r="J1116" s="251">
        <f>J1113+J1061</f>
        <v>3457212</v>
      </c>
      <c r="K1116" s="257"/>
      <c r="L1116" s="251"/>
      <c r="M1116" s="251">
        <f>M1113+M1061</f>
        <v>325653</v>
      </c>
      <c r="N1116" s="115"/>
      <c r="O1116" s="115"/>
      <c r="P1116" s="116"/>
      <c r="Q1116" s="116"/>
      <c r="R1116" s="117"/>
    </row>
    <row r="1117" spans="1:18" s="148" customFormat="1" ht="18" customHeight="1" x14ac:dyDescent="0.25">
      <c r="A1117" s="140"/>
      <c r="B1117" s="140"/>
      <c r="C1117" s="140"/>
      <c r="D1117" s="140"/>
      <c r="E1117" s="140"/>
      <c r="F1117" s="140"/>
      <c r="G1117" s="157"/>
      <c r="H1117" s="191"/>
      <c r="I1117" s="140"/>
      <c r="J1117" s="173"/>
      <c r="K1117" s="154"/>
      <c r="L1117" s="172"/>
      <c r="M1117" s="173"/>
      <c r="N1117" s="115"/>
      <c r="O1117" s="115"/>
      <c r="P1117" s="116"/>
      <c r="Q1117" s="116"/>
      <c r="R1117" s="117"/>
    </row>
    <row r="1118" spans="1:18" s="148" customFormat="1" ht="18" customHeight="1" x14ac:dyDescent="0.25">
      <c r="A1118" s="140"/>
      <c r="B1118" s="140"/>
      <c r="C1118" s="140"/>
      <c r="D1118" s="140"/>
      <c r="E1118" s="140"/>
      <c r="F1118" s="140"/>
      <c r="G1118" s="157"/>
      <c r="H1118" s="191"/>
      <c r="I1118" s="140"/>
      <c r="J1118" s="173"/>
      <c r="K1118" s="154"/>
      <c r="L1118" s="172"/>
      <c r="M1118" s="173"/>
      <c r="N1118" s="115"/>
      <c r="O1118" s="115"/>
      <c r="P1118" s="116"/>
      <c r="Q1118" s="116"/>
      <c r="R1118" s="117"/>
    </row>
    <row r="1119" spans="1:18" s="148" customFormat="1" ht="18" customHeight="1" x14ac:dyDescent="0.25">
      <c r="A1119" s="140"/>
      <c r="B1119" s="140"/>
      <c r="C1119" s="140"/>
      <c r="D1119" s="140"/>
      <c r="E1119" s="140"/>
      <c r="F1119" s="140"/>
      <c r="G1119" s="157"/>
      <c r="H1119" s="191"/>
      <c r="I1119" s="140"/>
      <c r="J1119" s="173"/>
      <c r="K1119" s="154"/>
      <c r="L1119" s="172"/>
      <c r="M1119" s="173"/>
      <c r="N1119" s="115"/>
      <c r="O1119" s="115"/>
      <c r="P1119" s="116"/>
      <c r="Q1119" s="116"/>
      <c r="R1119" s="117"/>
    </row>
    <row r="1120" spans="1:18" s="148" customFormat="1" ht="18" customHeight="1" x14ac:dyDescent="0.25">
      <c r="A1120" s="175" t="s">
        <v>636</v>
      </c>
      <c r="B1120" s="175"/>
      <c r="C1120" s="932"/>
      <c r="D1120" s="932"/>
      <c r="E1120" s="176"/>
      <c r="F1120" s="176"/>
      <c r="G1120" s="176"/>
      <c r="H1120" s="175" t="s">
        <v>637</v>
      </c>
      <c r="I1120" s="176"/>
      <c r="K1120" s="175" t="s">
        <v>264</v>
      </c>
      <c r="L1120" s="177"/>
      <c r="M1120" s="177"/>
      <c r="N1120" s="115"/>
      <c r="O1120" s="115"/>
      <c r="P1120" s="116"/>
      <c r="Q1120" s="116"/>
      <c r="R1120" s="117"/>
    </row>
    <row r="1121" spans="1:18" s="148" customFormat="1" ht="18" customHeight="1" x14ac:dyDescent="0.25">
      <c r="A1121" s="176"/>
      <c r="B1121" s="176"/>
      <c r="C1121" s="933"/>
      <c r="D1121" s="933"/>
      <c r="E1121" s="176"/>
      <c r="F1121" s="176"/>
      <c r="G1121" s="176"/>
      <c r="H1121" s="176"/>
      <c r="I1121" s="176"/>
      <c r="J1121" s="176"/>
      <c r="K1121" s="178"/>
      <c r="L1121" s="177"/>
      <c r="M1121" s="177"/>
      <c r="N1121" s="115"/>
      <c r="O1121" s="115"/>
      <c r="P1121" s="116"/>
      <c r="Q1121" s="116"/>
      <c r="R1121" s="117"/>
    </row>
    <row r="1122" spans="1:18" s="148" customFormat="1" ht="18" customHeight="1" x14ac:dyDescent="0.25">
      <c r="A1122" s="1131" t="s">
        <v>66</v>
      </c>
      <c r="B1122" s="1131"/>
      <c r="C1122" s="1131"/>
      <c r="D1122" s="1131"/>
      <c r="E1122" s="1131"/>
      <c r="F1122" s="1131"/>
      <c r="G1122" s="176"/>
      <c r="H1122" s="1131" t="s">
        <v>17</v>
      </c>
      <c r="I1122" s="1131"/>
      <c r="J1122" s="176"/>
      <c r="K1122" s="1131" t="s">
        <v>1493</v>
      </c>
      <c r="L1122" s="1131"/>
      <c r="M1122" s="1131"/>
      <c r="N1122" s="115"/>
      <c r="O1122" s="115"/>
      <c r="P1122" s="116"/>
      <c r="Q1122" s="116"/>
      <c r="R1122" s="117"/>
    </row>
    <row r="1123" spans="1:18" s="148" customFormat="1" ht="18" customHeight="1" x14ac:dyDescent="0.25">
      <c r="A1123" s="1132" t="s">
        <v>437</v>
      </c>
      <c r="B1123" s="1132"/>
      <c r="C1123" s="1132"/>
      <c r="D1123" s="1132"/>
      <c r="E1123" s="1132"/>
      <c r="F1123" s="1132"/>
      <c r="G1123" s="179"/>
      <c r="H1123" s="1132" t="s">
        <v>18</v>
      </c>
      <c r="I1123" s="1132"/>
      <c r="J1123" s="932"/>
      <c r="K1123" s="1132" t="s">
        <v>14</v>
      </c>
      <c r="L1123" s="1132"/>
      <c r="M1123" s="1132"/>
      <c r="N1123" s="115"/>
      <c r="O1123" s="115"/>
      <c r="P1123" s="116"/>
      <c r="Q1123" s="116"/>
      <c r="R1123" s="117"/>
    </row>
    <row r="1124" spans="1:18" ht="18" customHeight="1" x14ac:dyDescent="0.2">
      <c r="A1124" s="111"/>
      <c r="B1124" s="111"/>
      <c r="C1124" s="930"/>
      <c r="D1124" s="930"/>
      <c r="E1124" s="1121"/>
      <c r="F1124" s="1121"/>
      <c r="G1124" s="1121"/>
      <c r="H1124" s="930"/>
      <c r="I1124" s="930"/>
      <c r="J1124" s="930"/>
      <c r="K1124" s="1121"/>
      <c r="L1124" s="1121"/>
      <c r="M1124" s="1121"/>
    </row>
    <row r="1125" spans="1:18" ht="18" customHeight="1" x14ac:dyDescent="0.2">
      <c r="A1125" s="111"/>
      <c r="B1125" s="111"/>
      <c r="C1125" s="930"/>
      <c r="D1125" s="930"/>
      <c r="E1125" s="930"/>
      <c r="F1125" s="930"/>
      <c r="G1125" s="930"/>
      <c r="H1125" s="930"/>
      <c r="I1125" s="930"/>
      <c r="J1125" s="930"/>
      <c r="K1125" s="930"/>
      <c r="L1125" s="930"/>
      <c r="M1125" s="930"/>
    </row>
    <row r="1126" spans="1:18" ht="18" customHeight="1" x14ac:dyDescent="0.2">
      <c r="A1126" s="111"/>
      <c r="B1126" s="111"/>
      <c r="C1126" s="930"/>
      <c r="D1126" s="930"/>
      <c r="E1126" s="930"/>
      <c r="F1126" s="930"/>
      <c r="G1126" s="930"/>
      <c r="H1126" s="930"/>
      <c r="I1126" s="930"/>
      <c r="J1126" s="930"/>
      <c r="K1126" s="930"/>
      <c r="L1126" s="930"/>
      <c r="M1126" s="930"/>
    </row>
    <row r="1127" spans="1:18" ht="18" customHeight="1" x14ac:dyDescent="0.2">
      <c r="A1127" s="111"/>
      <c r="B1127" s="111"/>
      <c r="C1127" s="930"/>
      <c r="D1127" s="930"/>
      <c r="E1127" s="930"/>
      <c r="F1127" s="930"/>
      <c r="G1127" s="930"/>
      <c r="H1127" s="930"/>
      <c r="I1127" s="930"/>
      <c r="J1127" s="930"/>
      <c r="K1127" s="930"/>
      <c r="L1127" s="930"/>
      <c r="M1127" s="930"/>
    </row>
    <row r="1128" spans="1:18" ht="18" customHeight="1" x14ac:dyDescent="0.2">
      <c r="A1128" s="111"/>
      <c r="B1128" s="111"/>
      <c r="C1128" s="930"/>
      <c r="D1128" s="930"/>
      <c r="E1128" s="930"/>
      <c r="F1128" s="930"/>
      <c r="G1128" s="930"/>
      <c r="H1128" s="930"/>
      <c r="I1128" s="930"/>
      <c r="J1128" s="930"/>
      <c r="K1128" s="930"/>
      <c r="L1128" s="930"/>
      <c r="M1128" s="930"/>
    </row>
    <row r="1129" spans="1:18" ht="18" customHeight="1" x14ac:dyDescent="0.2">
      <c r="A1129" s="111"/>
      <c r="B1129" s="111"/>
      <c r="C1129" s="930"/>
      <c r="D1129" s="930"/>
      <c r="E1129" s="930"/>
      <c r="F1129" s="930"/>
      <c r="G1129" s="930"/>
      <c r="H1129" s="930"/>
      <c r="I1129" s="930"/>
      <c r="J1129" s="930"/>
      <c r="K1129" s="930"/>
      <c r="L1129" s="930"/>
      <c r="M1129" s="930"/>
    </row>
    <row r="1130" spans="1:18" ht="18" customHeight="1" x14ac:dyDescent="0.2">
      <c r="A1130" s="111"/>
      <c r="B1130" s="111"/>
      <c r="C1130" s="930"/>
      <c r="D1130" s="930"/>
      <c r="E1130" s="930"/>
      <c r="F1130" s="930"/>
      <c r="G1130" s="930"/>
      <c r="H1130" s="930"/>
      <c r="I1130" s="930"/>
      <c r="J1130" s="930"/>
      <c r="K1130" s="930"/>
      <c r="L1130" s="930"/>
      <c r="M1130" s="930"/>
    </row>
    <row r="1131" spans="1:18" ht="18" customHeight="1" x14ac:dyDescent="0.2">
      <c r="A1131" s="111"/>
      <c r="B1131" s="111"/>
      <c r="C1131" s="930"/>
      <c r="D1131" s="930"/>
      <c r="E1131" s="930"/>
      <c r="F1131" s="930"/>
      <c r="G1131" s="930"/>
      <c r="H1131" s="930"/>
      <c r="I1131" s="930"/>
      <c r="J1131" s="930"/>
      <c r="K1131" s="930"/>
      <c r="L1131" s="930"/>
      <c r="M1131" s="930"/>
    </row>
    <row r="1132" spans="1:18" ht="18" customHeight="1" x14ac:dyDescent="0.2">
      <c r="A1132" s="111"/>
      <c r="B1132" s="111"/>
      <c r="C1132" s="930"/>
      <c r="D1132" s="930"/>
      <c r="E1132" s="930"/>
      <c r="F1132" s="930"/>
      <c r="G1132" s="930"/>
      <c r="H1132" s="930"/>
      <c r="I1132" s="930"/>
      <c r="J1132" s="930"/>
      <c r="K1132" s="930"/>
      <c r="L1132" s="930"/>
      <c r="M1132" s="930"/>
    </row>
    <row r="1133" spans="1:18" ht="18" customHeight="1" x14ac:dyDescent="0.2">
      <c r="A1133" s="111"/>
      <c r="B1133" s="111"/>
      <c r="C1133" s="930"/>
      <c r="D1133" s="930"/>
      <c r="E1133" s="930"/>
      <c r="F1133" s="930"/>
      <c r="G1133" s="930"/>
      <c r="H1133" s="930"/>
      <c r="I1133" s="930"/>
      <c r="J1133" s="930"/>
      <c r="K1133" s="930"/>
      <c r="L1133" s="930"/>
      <c r="M1133" s="930"/>
    </row>
    <row r="1134" spans="1:18" ht="18" customHeight="1" x14ac:dyDescent="0.2">
      <c r="A1134" s="111"/>
      <c r="B1134" s="111"/>
      <c r="C1134" s="930"/>
      <c r="D1134" s="930"/>
      <c r="E1134" s="930"/>
      <c r="F1134" s="930"/>
      <c r="G1134" s="930"/>
      <c r="H1134" s="930"/>
      <c r="I1134" s="930"/>
      <c r="J1134" s="930"/>
      <c r="K1134" s="930"/>
      <c r="L1134" s="930"/>
      <c r="M1134" s="930"/>
    </row>
    <row r="1135" spans="1:18" ht="18" customHeight="1" x14ac:dyDescent="0.2">
      <c r="A1135" s="111"/>
      <c r="B1135" s="111"/>
      <c r="C1135" s="930"/>
      <c r="D1135" s="930"/>
      <c r="E1135" s="930"/>
      <c r="F1135" s="930"/>
      <c r="G1135" s="930"/>
      <c r="H1135" s="930"/>
      <c r="I1135" s="930"/>
      <c r="J1135" s="930"/>
      <c r="K1135" s="930"/>
      <c r="L1135" s="930"/>
      <c r="M1135" s="930"/>
    </row>
    <row r="1136" spans="1:18" ht="18" customHeight="1" x14ac:dyDescent="0.2">
      <c r="A1136" s="111"/>
      <c r="B1136" s="111"/>
      <c r="C1136" s="930"/>
      <c r="D1136" s="930"/>
      <c r="E1136" s="930"/>
      <c r="F1136" s="930"/>
      <c r="G1136" s="930"/>
      <c r="H1136" s="930"/>
      <c r="I1136" s="930"/>
      <c r="J1136" s="930"/>
      <c r="K1136" s="930"/>
      <c r="L1136" s="930"/>
      <c r="M1136" s="930"/>
    </row>
    <row r="1137" spans="1:13" ht="18" customHeight="1" x14ac:dyDescent="0.2">
      <c r="A1137" s="111"/>
      <c r="B1137" s="111"/>
      <c r="C1137" s="930"/>
      <c r="D1137" s="930"/>
      <c r="E1137" s="930"/>
      <c r="F1137" s="930"/>
      <c r="G1137" s="930"/>
      <c r="H1137" s="930"/>
      <c r="I1137" s="930"/>
      <c r="J1137" s="930"/>
      <c r="K1137" s="930"/>
      <c r="L1137" s="930"/>
      <c r="M1137" s="930"/>
    </row>
    <row r="1138" spans="1:13" ht="18" customHeight="1" x14ac:dyDescent="0.2">
      <c r="A1138" s="111"/>
      <c r="B1138" s="111"/>
      <c r="C1138" s="930"/>
      <c r="D1138" s="930"/>
      <c r="E1138" s="930"/>
      <c r="F1138" s="930"/>
      <c r="G1138" s="930"/>
      <c r="H1138" s="930"/>
      <c r="I1138" s="930"/>
      <c r="J1138" s="930"/>
      <c r="K1138" s="930"/>
      <c r="L1138" s="930"/>
      <c r="M1138" s="930"/>
    </row>
    <row r="1139" spans="1:13" ht="18" customHeight="1" x14ac:dyDescent="0.2">
      <c r="A1139" s="111"/>
      <c r="B1139" s="111"/>
      <c r="C1139" s="930"/>
      <c r="D1139" s="930"/>
      <c r="E1139" s="930"/>
      <c r="F1139" s="930"/>
      <c r="G1139" s="930"/>
      <c r="H1139" s="930"/>
      <c r="I1139" s="930"/>
      <c r="J1139" s="930"/>
      <c r="K1139" s="930"/>
      <c r="L1139" s="930"/>
      <c r="M1139" s="930"/>
    </row>
    <row r="1140" spans="1:13" ht="20.100000000000001" customHeight="1" x14ac:dyDescent="0.35">
      <c r="A1140" s="1142" t="s">
        <v>1023</v>
      </c>
      <c r="B1140" s="1142"/>
      <c r="C1140" s="1142"/>
      <c r="D1140" s="1142"/>
      <c r="E1140" s="1142"/>
      <c r="F1140" s="1142"/>
      <c r="G1140" s="1142"/>
      <c r="H1140" s="1142"/>
      <c r="I1140" s="1142"/>
      <c r="J1140" s="1142"/>
      <c r="K1140" s="1142"/>
      <c r="L1140" s="1142"/>
      <c r="M1140" s="1142"/>
    </row>
    <row r="1141" spans="1:13" ht="18" customHeight="1" x14ac:dyDescent="0.2">
      <c r="A1141" s="111"/>
      <c r="B1141" s="111"/>
      <c r="C1141" s="930"/>
      <c r="D1141" s="930"/>
      <c r="E1141" s="930"/>
      <c r="F1141" s="930"/>
      <c r="G1141" s="930"/>
      <c r="H1141" s="930"/>
      <c r="I1141" s="930"/>
      <c r="J1141" s="930"/>
      <c r="K1141" s="930"/>
      <c r="L1141" s="930"/>
      <c r="M1141" s="930"/>
    </row>
    <row r="1142" spans="1:13" ht="18" customHeight="1" x14ac:dyDescent="0.2">
      <c r="A1142" s="111"/>
      <c r="B1142" s="111"/>
      <c r="C1142" s="930"/>
      <c r="D1142" s="930"/>
      <c r="E1142" s="930"/>
      <c r="F1142" s="930"/>
      <c r="G1142" s="930"/>
      <c r="H1142" s="930"/>
      <c r="I1142" s="930"/>
      <c r="J1142" s="930"/>
      <c r="K1142" s="930"/>
      <c r="L1142" s="930"/>
      <c r="M1142" s="930"/>
    </row>
    <row r="1143" spans="1:13" ht="18" customHeight="1" x14ac:dyDescent="0.2">
      <c r="A1143" s="111"/>
      <c r="B1143" s="111"/>
      <c r="C1143" s="930"/>
      <c r="D1143" s="930"/>
      <c r="E1143" s="930"/>
      <c r="F1143" s="930"/>
      <c r="G1143" s="930"/>
      <c r="H1143" s="930"/>
      <c r="I1143" s="930"/>
      <c r="J1143" s="930"/>
      <c r="K1143" s="930"/>
      <c r="L1143" s="930"/>
      <c r="M1143" s="930"/>
    </row>
    <row r="1144" spans="1:13" ht="18" customHeight="1" x14ac:dyDescent="0.2"/>
    <row r="1145" spans="1:13" ht="18" customHeight="1" x14ac:dyDescent="0.2"/>
    <row r="1146" spans="1:13" ht="18" customHeight="1" x14ac:dyDescent="0.3">
      <c r="A1146" s="1146"/>
      <c r="B1146" s="1146"/>
      <c r="C1146" s="1146"/>
      <c r="D1146" s="1146"/>
      <c r="E1146" s="1146"/>
      <c r="F1146" s="1146"/>
      <c r="G1146" s="1146"/>
      <c r="H1146" s="1146"/>
      <c r="I1146" s="1146"/>
      <c r="J1146" s="1146"/>
      <c r="K1146" s="1146"/>
      <c r="L1146" s="1146"/>
      <c r="M1146" s="1146"/>
    </row>
    <row r="1147" spans="1:13" ht="18" customHeight="1" x14ac:dyDescent="0.2">
      <c r="A1147" s="110"/>
      <c r="B1147" s="110"/>
      <c r="C1147" s="937"/>
      <c r="D1147" s="937"/>
      <c r="E1147" s="111"/>
      <c r="F1147" s="111"/>
      <c r="G1147" s="111"/>
      <c r="H1147" s="111"/>
      <c r="I1147" s="111"/>
      <c r="J1147" s="111"/>
      <c r="K1147" s="112"/>
      <c r="M1147" s="114"/>
    </row>
    <row r="1148" spans="1:13" ht="18" customHeight="1" x14ac:dyDescent="0.3">
      <c r="A1148" s="1119" t="s">
        <v>1549</v>
      </c>
      <c r="B1148" s="1119"/>
      <c r="C1148" s="1119"/>
      <c r="D1148" s="1119"/>
      <c r="E1148" s="1119"/>
      <c r="F1148" s="1119"/>
      <c r="G1148" s="1119"/>
      <c r="H1148" s="1119"/>
      <c r="I1148" s="1119"/>
      <c r="J1148" s="1119"/>
      <c r="K1148" s="1119"/>
      <c r="L1148" s="1119"/>
      <c r="M1148" s="1119"/>
    </row>
    <row r="1149" spans="1:13" ht="18" customHeight="1" x14ac:dyDescent="0.3">
      <c r="A1149" s="1120" t="s">
        <v>364</v>
      </c>
      <c r="B1149" s="1120"/>
      <c r="C1149" s="1120"/>
      <c r="D1149" s="1120"/>
      <c r="E1149" s="1120"/>
      <c r="F1149" s="1120"/>
      <c r="G1149" s="1120"/>
      <c r="H1149" s="1120"/>
      <c r="I1149" s="1120"/>
      <c r="J1149" s="1120"/>
      <c r="K1149" s="1120"/>
      <c r="L1149" s="1120"/>
      <c r="M1149" s="1120"/>
    </row>
    <row r="1150" spans="1:13" ht="18" customHeight="1" x14ac:dyDescent="0.2">
      <c r="A1150" s="1121"/>
      <c r="B1150" s="1121"/>
      <c r="C1150" s="1121"/>
      <c r="D1150" s="1121"/>
      <c r="E1150" s="1121"/>
      <c r="F1150" s="1121"/>
      <c r="G1150" s="1121"/>
      <c r="H1150" s="1121"/>
      <c r="I1150" s="1121"/>
      <c r="J1150" s="1121"/>
      <c r="K1150" s="1121"/>
      <c r="L1150" s="1121"/>
      <c r="M1150" s="1121"/>
    </row>
    <row r="1151" spans="1:13" ht="18" customHeight="1" x14ac:dyDescent="0.2">
      <c r="A1151" s="930"/>
      <c r="B1151" s="930"/>
      <c r="C1151" s="930"/>
      <c r="D1151" s="930"/>
      <c r="E1151" s="930"/>
      <c r="F1151" s="930"/>
      <c r="G1151" s="930"/>
      <c r="H1151" s="930"/>
      <c r="I1151" s="930"/>
      <c r="J1151" s="930"/>
      <c r="K1151" s="930"/>
      <c r="L1151" s="930"/>
      <c r="M1151" s="930"/>
    </row>
    <row r="1152" spans="1:13" ht="18" customHeight="1" x14ac:dyDescent="0.2">
      <c r="A1152" s="111" t="s">
        <v>470</v>
      </c>
      <c r="B1152" s="111"/>
      <c r="C1152" s="111" t="s">
        <v>455</v>
      </c>
      <c r="D1152" s="111" t="s">
        <v>487</v>
      </c>
      <c r="E1152" s="111"/>
      <c r="F1152" s="111"/>
      <c r="G1152" s="111"/>
      <c r="H1152" s="111"/>
      <c r="I1152" s="112"/>
      <c r="J1152" s="113"/>
      <c r="K1152" s="113"/>
      <c r="L1152" s="930"/>
      <c r="M1152" s="930"/>
    </row>
    <row r="1153" spans="1:22" ht="18" customHeight="1" x14ac:dyDescent="0.25">
      <c r="A1153" s="111" t="s">
        <v>465</v>
      </c>
      <c r="B1153" s="111"/>
      <c r="C1153" s="111" t="s">
        <v>455</v>
      </c>
      <c r="D1153" s="111" t="s">
        <v>488</v>
      </c>
      <c r="E1153" s="111"/>
      <c r="F1153" s="111"/>
      <c r="I1153" s="136"/>
      <c r="J1153" s="113"/>
      <c r="K1153" s="180"/>
      <c r="L1153" s="930"/>
      <c r="M1153" s="930"/>
      <c r="N1153" s="182"/>
      <c r="O1153" s="182"/>
      <c r="P1153" s="108"/>
      <c r="Q1153" s="108"/>
      <c r="R1153" s="258"/>
      <c r="S1153" s="111"/>
      <c r="T1153" s="111"/>
      <c r="U1153" s="112"/>
      <c r="V1153" s="113"/>
    </row>
    <row r="1154" spans="1:22" ht="18" customHeight="1" x14ac:dyDescent="0.25">
      <c r="A1154" s="111" t="s">
        <v>486</v>
      </c>
      <c r="B1154" s="111"/>
      <c r="C1154" s="111" t="s">
        <v>455</v>
      </c>
      <c r="D1154" s="111" t="s">
        <v>489</v>
      </c>
      <c r="E1154" s="111"/>
      <c r="F1154" s="111"/>
      <c r="G1154" s="111"/>
      <c r="H1154" s="111"/>
      <c r="I1154" s="112"/>
      <c r="J1154" s="113"/>
      <c r="K1154" s="113"/>
      <c r="L1154" s="930"/>
      <c r="M1154" s="930"/>
      <c r="N1154" s="182"/>
      <c r="O1154" s="182"/>
      <c r="P1154" s="108"/>
      <c r="Q1154" s="108"/>
      <c r="R1154" s="258"/>
      <c r="U1154" s="136"/>
      <c r="V1154" s="113"/>
    </row>
    <row r="1155" spans="1:22" ht="18" customHeight="1" thickBot="1" x14ac:dyDescent="0.3">
      <c r="A1155" s="111"/>
      <c r="B1155" s="111"/>
      <c r="C1155" s="111"/>
      <c r="D1155" s="111" t="s">
        <v>695</v>
      </c>
      <c r="E1155" s="111"/>
      <c r="F1155" s="111"/>
      <c r="G1155" s="111"/>
      <c r="H1155" s="111"/>
      <c r="I1155" s="112"/>
      <c r="J1155" s="113"/>
      <c r="K1155" s="113"/>
      <c r="L1155" s="930"/>
      <c r="M1155" s="930"/>
      <c r="N1155" s="182"/>
      <c r="O1155" s="182"/>
      <c r="P1155" s="108"/>
      <c r="Q1155" s="108"/>
      <c r="R1155" s="258"/>
      <c r="U1155" s="136"/>
      <c r="V1155" s="113"/>
    </row>
    <row r="1156" spans="1:22" ht="18" customHeight="1" x14ac:dyDescent="0.25">
      <c r="A1156" s="1122" t="s">
        <v>642</v>
      </c>
      <c r="B1156" s="1123"/>
      <c r="C1156" s="1123"/>
      <c r="D1156" s="1123"/>
      <c r="E1156" s="1124"/>
      <c r="F1156" s="1123"/>
      <c r="G1156" s="1125"/>
      <c r="H1156" s="121"/>
      <c r="I1156" s="1126" t="s">
        <v>646</v>
      </c>
      <c r="J1156" s="1127"/>
      <c r="K1156" s="1126" t="s">
        <v>646</v>
      </c>
      <c r="L1156" s="1127"/>
      <c r="M1156" s="122"/>
      <c r="N1156" s="182"/>
      <c r="O1156" s="182"/>
      <c r="P1156" s="108"/>
      <c r="Q1156" s="108"/>
      <c r="R1156" s="258"/>
      <c r="S1156" s="111"/>
      <c r="T1156" s="111"/>
      <c r="U1156" s="112"/>
      <c r="V1156" s="113"/>
    </row>
    <row r="1157" spans="1:22" ht="18" customHeight="1" x14ac:dyDescent="0.25">
      <c r="A1157" s="123" t="s">
        <v>643</v>
      </c>
      <c r="B1157" s="1133" t="s">
        <v>644</v>
      </c>
      <c r="C1157" s="1134"/>
      <c r="D1157" s="1135"/>
      <c r="E1157" s="1136" t="s">
        <v>45</v>
      </c>
      <c r="F1157" s="1137"/>
      <c r="G1157" s="1138"/>
      <c r="H1157" s="934" t="s">
        <v>46</v>
      </c>
      <c r="I1157" s="1136" t="s">
        <v>1492</v>
      </c>
      <c r="J1157" s="1138"/>
      <c r="K1157" s="1137" t="s">
        <v>1550</v>
      </c>
      <c r="L1157" s="1138"/>
      <c r="M1157" s="124" t="s">
        <v>47</v>
      </c>
      <c r="N1157" s="182"/>
      <c r="O1157" s="182"/>
      <c r="P1157" s="108"/>
      <c r="Q1157" s="108"/>
      <c r="R1157" s="258"/>
      <c r="S1157" s="111"/>
      <c r="T1157" s="111"/>
      <c r="U1157" s="112"/>
      <c r="V1157" s="113"/>
    </row>
    <row r="1158" spans="1:22" ht="18" customHeight="1" x14ac:dyDescent="0.25">
      <c r="A1158" s="125"/>
      <c r="B1158" s="934"/>
      <c r="C1158" s="935"/>
      <c r="D1158" s="935"/>
      <c r="E1158" s="934"/>
      <c r="F1158" s="935"/>
      <c r="G1158" s="936"/>
      <c r="H1158" s="934" t="s">
        <v>48</v>
      </c>
      <c r="I1158" s="1139" t="s">
        <v>1551</v>
      </c>
      <c r="J1158" s="1140"/>
      <c r="K1158" s="1139"/>
      <c r="L1158" s="1140"/>
      <c r="M1158" s="124" t="s">
        <v>49</v>
      </c>
      <c r="N1158" s="182"/>
      <c r="O1158" s="182"/>
      <c r="P1158" s="108"/>
      <c r="Q1158" s="108"/>
      <c r="R1158" s="258"/>
      <c r="S1158" s="111"/>
      <c r="T1158" s="111"/>
      <c r="U1158" s="112"/>
      <c r="V1158" s="113"/>
    </row>
    <row r="1159" spans="1:22" ht="18" customHeight="1" x14ac:dyDescent="0.2">
      <c r="A1159" s="125"/>
      <c r="B1159" s="934"/>
      <c r="C1159" s="935"/>
      <c r="D1159" s="935"/>
      <c r="E1159" s="934"/>
      <c r="F1159" s="935"/>
      <c r="G1159" s="126"/>
      <c r="H1159" s="127"/>
      <c r="I1159" s="128" t="s">
        <v>645</v>
      </c>
      <c r="J1159" s="129" t="s">
        <v>50</v>
      </c>
      <c r="K1159" s="128" t="s">
        <v>645</v>
      </c>
      <c r="L1159" s="129" t="s">
        <v>50</v>
      </c>
      <c r="M1159" s="124"/>
    </row>
    <row r="1160" spans="1:22" ht="18" customHeight="1" thickBot="1" x14ac:dyDescent="0.25">
      <c r="A1160" s="130"/>
      <c r="B1160" s="1128"/>
      <c r="C1160" s="1129"/>
      <c r="D1160" s="1130"/>
      <c r="E1160" s="1128"/>
      <c r="F1160" s="1129"/>
      <c r="G1160" s="1130"/>
      <c r="H1160" s="131"/>
      <c r="I1160" s="131"/>
      <c r="J1160" s="131"/>
      <c r="K1160" s="131"/>
      <c r="L1160" s="131"/>
      <c r="M1160" s="132"/>
    </row>
    <row r="1161" spans="1:22" ht="18" customHeight="1" x14ac:dyDescent="0.2">
      <c r="A1161" s="259"/>
      <c r="B1161" s="119"/>
      <c r="C1161" s="119"/>
      <c r="D1161" s="119"/>
      <c r="E1161" s="133"/>
      <c r="F1161" s="119"/>
      <c r="G1161" s="134"/>
      <c r="H1161" s="135"/>
      <c r="I1161" s="184"/>
      <c r="J1161" s="137"/>
      <c r="K1161" s="184"/>
      <c r="L1161" s="137"/>
      <c r="M1161" s="137"/>
    </row>
    <row r="1162" spans="1:22" s="148" customFormat="1" ht="18" customHeight="1" x14ac:dyDescent="0.25">
      <c r="A1162" s="185">
        <v>1</v>
      </c>
      <c r="B1162" s="140"/>
      <c r="C1162" s="140"/>
      <c r="D1162" s="140"/>
      <c r="E1162" s="156" t="s">
        <v>258</v>
      </c>
      <c r="F1162" s="140"/>
      <c r="G1162" s="142"/>
      <c r="H1162" s="143" t="s">
        <v>914</v>
      </c>
      <c r="I1162" s="187" t="s">
        <v>967</v>
      </c>
      <c r="J1162" s="145">
        <f>36263*12</f>
        <v>435156</v>
      </c>
      <c r="K1162" s="187" t="s">
        <v>967</v>
      </c>
      <c r="L1162" s="145">
        <v>450672</v>
      </c>
      <c r="M1162" s="146">
        <f>L1162-J1162</f>
        <v>15516</v>
      </c>
      <c r="N1162" s="115">
        <f>L1162-J1162</f>
        <v>15516</v>
      </c>
      <c r="O1162" s="115">
        <f>N1162-M1162</f>
        <v>0</v>
      </c>
      <c r="P1162" s="116">
        <v>32372</v>
      </c>
      <c r="Q1162" s="116">
        <f>P1162*12</f>
        <v>388464</v>
      </c>
      <c r="R1162" s="147">
        <f>Q1162-L1162</f>
        <v>-62208</v>
      </c>
    </row>
    <row r="1163" spans="1:22" s="148" customFormat="1" ht="18" customHeight="1" x14ac:dyDescent="0.25">
      <c r="A1163" s="185"/>
      <c r="B1163" s="140"/>
      <c r="C1163" s="140"/>
      <c r="D1163" s="140"/>
      <c r="E1163" s="156" t="s">
        <v>259</v>
      </c>
      <c r="F1163" s="140"/>
      <c r="G1163" s="142"/>
      <c r="H1163" s="143"/>
      <c r="I1163" s="187"/>
      <c r="J1163" s="145"/>
      <c r="K1163" s="187"/>
      <c r="L1163" s="145"/>
      <c r="M1163" s="145"/>
      <c r="N1163" s="115"/>
      <c r="O1163" s="115"/>
      <c r="P1163" s="116"/>
      <c r="Q1163" s="116"/>
      <c r="R1163" s="117"/>
    </row>
    <row r="1164" spans="1:22" s="148" customFormat="1" ht="18" customHeight="1" x14ac:dyDescent="0.25">
      <c r="A1164" s="185"/>
      <c r="B1164" s="140"/>
      <c r="C1164" s="140"/>
      <c r="D1164" s="140"/>
      <c r="E1164" s="139"/>
      <c r="F1164" s="140"/>
      <c r="G1164" s="142"/>
      <c r="H1164" s="143"/>
      <c r="I1164" s="144"/>
      <c r="J1164" s="260"/>
      <c r="K1164" s="144"/>
      <c r="L1164" s="260"/>
      <c r="M1164" s="145"/>
      <c r="N1164" s="115"/>
      <c r="O1164" s="115"/>
      <c r="P1164" s="116"/>
      <c r="Q1164" s="116"/>
      <c r="R1164" s="117"/>
    </row>
    <row r="1165" spans="1:22" s="148" customFormat="1" ht="18" customHeight="1" x14ac:dyDescent="0.25">
      <c r="A1165" s="185"/>
      <c r="B1165" s="140"/>
      <c r="C1165" s="140"/>
      <c r="D1165" s="140"/>
      <c r="E1165" s="139"/>
      <c r="F1165" s="140"/>
      <c r="G1165" s="142"/>
      <c r="H1165" s="143"/>
      <c r="I1165" s="144"/>
      <c r="J1165" s="145"/>
      <c r="K1165" s="144"/>
      <c r="L1165" s="145"/>
      <c r="M1165" s="146"/>
      <c r="N1165" s="115"/>
      <c r="O1165" s="115"/>
      <c r="P1165" s="116"/>
      <c r="Q1165" s="116"/>
      <c r="R1165" s="117"/>
    </row>
    <row r="1166" spans="1:22" s="148" customFormat="1" ht="18" customHeight="1" x14ac:dyDescent="0.25">
      <c r="A1166" s="185">
        <v>2</v>
      </c>
      <c r="B1166" s="140"/>
      <c r="C1166" s="140"/>
      <c r="D1166" s="140"/>
      <c r="E1166" s="156" t="s">
        <v>258</v>
      </c>
      <c r="F1166" s="140"/>
      <c r="G1166" s="142"/>
      <c r="H1166" s="143" t="s">
        <v>94</v>
      </c>
      <c r="I1166" s="144" t="s">
        <v>399</v>
      </c>
      <c r="J1166" s="145">
        <f>18969*12</f>
        <v>227628</v>
      </c>
      <c r="K1166" s="144" t="s">
        <v>399</v>
      </c>
      <c r="L1166" s="145">
        <v>243540</v>
      </c>
      <c r="M1166" s="146">
        <f>L1166-J1166</f>
        <v>15912</v>
      </c>
      <c r="N1166" s="115">
        <f>L1166-J1166</f>
        <v>15912</v>
      </c>
      <c r="O1166" s="115">
        <f>N1166-M1166</f>
        <v>0</v>
      </c>
      <c r="P1166" s="116"/>
      <c r="Q1166" s="116"/>
      <c r="R1166" s="117"/>
    </row>
    <row r="1167" spans="1:22" s="148" customFormat="1" ht="18" customHeight="1" x14ac:dyDescent="0.25">
      <c r="A1167" s="185"/>
      <c r="B1167" s="140"/>
      <c r="C1167" s="140"/>
      <c r="D1167" s="140"/>
      <c r="E1167" s="156" t="s">
        <v>1539</v>
      </c>
      <c r="F1167" s="140"/>
      <c r="G1167" s="142"/>
      <c r="H1167" s="143"/>
      <c r="I1167" s="144"/>
      <c r="J1167" s="145"/>
      <c r="K1167" s="144"/>
      <c r="L1167" s="145"/>
      <c r="M1167" s="145"/>
      <c r="N1167" s="115"/>
      <c r="O1167" s="115"/>
      <c r="P1167" s="116"/>
      <c r="Q1167" s="116"/>
      <c r="R1167" s="117"/>
    </row>
    <row r="1168" spans="1:22" s="148" customFormat="1" ht="18" customHeight="1" x14ac:dyDescent="0.25">
      <c r="A1168" s="185"/>
      <c r="B1168" s="140"/>
      <c r="C1168" s="140"/>
      <c r="D1168" s="140"/>
      <c r="E1168" s="139"/>
      <c r="F1168" s="140"/>
      <c r="G1168" s="142"/>
      <c r="H1168" s="143"/>
      <c r="I1168" s="144"/>
      <c r="J1168" s="145"/>
      <c r="K1168" s="144"/>
      <c r="L1168" s="145"/>
      <c r="M1168" s="145"/>
      <c r="N1168" s="115"/>
      <c r="O1168" s="115"/>
      <c r="P1168" s="116"/>
      <c r="Q1168" s="116"/>
      <c r="R1168" s="117"/>
    </row>
    <row r="1169" spans="1:18" s="148" customFormat="1" ht="18" customHeight="1" x14ac:dyDescent="0.25">
      <c r="A1169" s="185"/>
      <c r="B1169" s="140"/>
      <c r="C1169" s="140"/>
      <c r="D1169" s="140"/>
      <c r="E1169" s="139"/>
      <c r="F1169" s="140"/>
      <c r="G1169" s="142"/>
      <c r="H1169" s="143"/>
      <c r="I1169" s="144"/>
      <c r="J1169" s="145"/>
      <c r="K1169" s="144"/>
      <c r="L1169" s="145"/>
      <c r="M1169" s="145"/>
      <c r="N1169" s="115"/>
      <c r="O1169" s="115"/>
      <c r="P1169" s="116"/>
      <c r="Q1169" s="116"/>
      <c r="R1169" s="117"/>
    </row>
    <row r="1170" spans="1:18" s="148" customFormat="1" ht="18" customHeight="1" x14ac:dyDescent="0.25">
      <c r="A1170" s="185"/>
      <c r="B1170" s="140"/>
      <c r="C1170" s="140"/>
      <c r="D1170" s="140"/>
      <c r="E1170" s="139"/>
      <c r="F1170" s="140"/>
      <c r="G1170" s="142"/>
      <c r="H1170" s="143"/>
      <c r="I1170" s="144"/>
      <c r="J1170" s="145"/>
      <c r="K1170" s="144"/>
      <c r="L1170" s="145"/>
      <c r="M1170" s="145"/>
      <c r="N1170" s="115"/>
      <c r="O1170" s="115"/>
      <c r="P1170" s="116"/>
      <c r="Q1170" s="116"/>
      <c r="R1170" s="117"/>
    </row>
    <row r="1171" spans="1:18" s="148" customFormat="1" ht="18" customHeight="1" x14ac:dyDescent="0.25">
      <c r="A1171" s="185"/>
      <c r="B1171" s="140"/>
      <c r="C1171" s="140"/>
      <c r="D1171" s="140"/>
      <c r="E1171" s="139"/>
      <c r="F1171" s="140"/>
      <c r="G1171" s="142"/>
      <c r="H1171" s="143"/>
      <c r="I1171" s="144"/>
      <c r="J1171" s="145"/>
      <c r="K1171" s="144"/>
      <c r="L1171" s="145"/>
      <c r="M1171" s="145"/>
      <c r="N1171" s="115"/>
      <c r="O1171" s="115"/>
      <c r="P1171" s="116"/>
      <c r="Q1171" s="116"/>
      <c r="R1171" s="117"/>
    </row>
    <row r="1172" spans="1:18" s="148" customFormat="1" ht="18" customHeight="1" x14ac:dyDescent="0.25">
      <c r="A1172" s="185"/>
      <c r="B1172" s="140"/>
      <c r="C1172" s="140"/>
      <c r="D1172" s="140"/>
      <c r="E1172" s="139"/>
      <c r="F1172" s="140"/>
      <c r="G1172" s="142"/>
      <c r="H1172" s="143"/>
      <c r="I1172" s="144"/>
      <c r="J1172" s="145"/>
      <c r="K1172" s="144"/>
      <c r="L1172" s="145"/>
      <c r="M1172" s="145"/>
      <c r="N1172" s="115"/>
      <c r="O1172" s="115"/>
      <c r="P1172" s="116"/>
      <c r="Q1172" s="116"/>
      <c r="R1172" s="117"/>
    </row>
    <row r="1173" spans="1:18" s="148" customFormat="1" ht="18" customHeight="1" x14ac:dyDescent="0.25">
      <c r="A1173" s="185"/>
      <c r="B1173" s="140"/>
      <c r="C1173" s="140"/>
      <c r="D1173" s="140"/>
      <c r="E1173" s="139"/>
      <c r="F1173" s="140"/>
      <c r="G1173" s="142"/>
      <c r="H1173" s="143"/>
      <c r="I1173" s="144"/>
      <c r="J1173" s="145"/>
      <c r="K1173" s="144"/>
      <c r="L1173" s="145"/>
      <c r="M1173" s="145"/>
      <c r="N1173" s="115"/>
      <c r="O1173" s="115"/>
      <c r="P1173" s="116"/>
      <c r="Q1173" s="116"/>
      <c r="R1173" s="117"/>
    </row>
    <row r="1174" spans="1:18" s="148" customFormat="1" ht="18" customHeight="1" x14ac:dyDescent="0.25">
      <c r="A1174" s="185"/>
      <c r="B1174" s="140"/>
      <c r="C1174" s="140"/>
      <c r="D1174" s="140"/>
      <c r="E1174" s="139"/>
      <c r="F1174" s="140"/>
      <c r="G1174" s="142"/>
      <c r="H1174" s="143"/>
      <c r="I1174" s="144"/>
      <c r="J1174" s="145"/>
      <c r="K1174" s="144"/>
      <c r="L1174" s="145"/>
      <c r="M1174" s="145"/>
      <c r="N1174" s="115"/>
      <c r="O1174" s="115"/>
      <c r="P1174" s="116"/>
      <c r="Q1174" s="116"/>
      <c r="R1174" s="117"/>
    </row>
    <row r="1175" spans="1:18" s="148" customFormat="1" ht="18" customHeight="1" x14ac:dyDescent="0.25">
      <c r="A1175" s="185"/>
      <c r="B1175" s="140"/>
      <c r="C1175" s="140"/>
      <c r="D1175" s="140"/>
      <c r="E1175" s="139"/>
      <c r="F1175" s="140"/>
      <c r="G1175" s="142"/>
      <c r="H1175" s="143"/>
      <c r="I1175" s="144"/>
      <c r="J1175" s="145"/>
      <c r="K1175" s="144"/>
      <c r="L1175" s="145"/>
      <c r="M1175" s="145"/>
      <c r="N1175" s="115"/>
      <c r="O1175" s="115"/>
      <c r="P1175" s="116"/>
      <c r="Q1175" s="116"/>
      <c r="R1175" s="117"/>
    </row>
    <row r="1176" spans="1:18" s="148" customFormat="1" ht="18" customHeight="1" x14ac:dyDescent="0.25">
      <c r="A1176" s="185"/>
      <c r="B1176" s="140"/>
      <c r="C1176" s="140"/>
      <c r="D1176" s="140"/>
      <c r="E1176" s="139"/>
      <c r="F1176" s="140"/>
      <c r="G1176" s="142"/>
      <c r="H1176" s="143"/>
      <c r="I1176" s="144"/>
      <c r="J1176" s="145"/>
      <c r="K1176" s="144"/>
      <c r="L1176" s="145"/>
      <c r="M1176" s="145"/>
      <c r="N1176" s="115"/>
      <c r="O1176" s="115"/>
      <c r="P1176" s="116"/>
      <c r="Q1176" s="116"/>
      <c r="R1176" s="117"/>
    </row>
    <row r="1177" spans="1:18" s="148" customFormat="1" ht="18" customHeight="1" x14ac:dyDescent="0.25">
      <c r="A1177" s="185"/>
      <c r="B1177" s="140"/>
      <c r="C1177" s="140"/>
      <c r="D1177" s="140"/>
      <c r="E1177" s="139"/>
      <c r="F1177" s="140"/>
      <c r="G1177" s="142"/>
      <c r="H1177" s="143"/>
      <c r="I1177" s="144"/>
      <c r="J1177" s="145"/>
      <c r="K1177" s="144"/>
      <c r="L1177" s="145"/>
      <c r="M1177" s="145"/>
      <c r="N1177" s="115"/>
      <c r="O1177" s="115"/>
      <c r="P1177" s="116"/>
      <c r="Q1177" s="116"/>
      <c r="R1177" s="117"/>
    </row>
    <row r="1178" spans="1:18" s="148" customFormat="1" ht="18" customHeight="1" x14ac:dyDescent="0.25">
      <c r="A1178" s="185"/>
      <c r="B1178" s="140"/>
      <c r="C1178" s="140"/>
      <c r="D1178" s="140"/>
      <c r="E1178" s="139"/>
      <c r="F1178" s="140"/>
      <c r="G1178" s="142"/>
      <c r="H1178" s="143"/>
      <c r="I1178" s="144"/>
      <c r="J1178" s="145"/>
      <c r="K1178" s="144"/>
      <c r="L1178" s="145"/>
      <c r="M1178" s="146"/>
      <c r="N1178" s="115"/>
      <c r="O1178" s="115"/>
      <c r="P1178" s="116"/>
      <c r="Q1178" s="116"/>
      <c r="R1178" s="117"/>
    </row>
    <row r="1179" spans="1:18" s="148" customFormat="1" ht="18" customHeight="1" x14ac:dyDescent="0.25">
      <c r="A1179" s="185"/>
      <c r="B1179" s="140"/>
      <c r="C1179" s="140"/>
      <c r="D1179" s="140"/>
      <c r="E1179" s="139"/>
      <c r="F1179" s="140"/>
      <c r="G1179" s="142"/>
      <c r="H1179" s="143"/>
      <c r="I1179" s="144"/>
      <c r="J1179" s="145"/>
      <c r="K1179" s="144"/>
      <c r="L1179" s="145"/>
      <c r="M1179" s="145"/>
      <c r="N1179" s="115"/>
      <c r="O1179" s="115"/>
      <c r="P1179" s="116"/>
      <c r="Q1179" s="116"/>
      <c r="R1179" s="117"/>
    </row>
    <row r="1180" spans="1:18" s="148" customFormat="1" ht="18" customHeight="1" x14ac:dyDescent="0.25">
      <c r="A1180" s="143"/>
      <c r="B1180" s="157"/>
      <c r="C1180" s="140"/>
      <c r="D1180" s="140"/>
      <c r="E1180" s="156"/>
      <c r="F1180" s="157"/>
      <c r="G1180" s="142"/>
      <c r="H1180" s="143"/>
      <c r="I1180" s="213"/>
      <c r="J1180" s="145"/>
      <c r="K1180" s="213"/>
      <c r="L1180" s="145"/>
      <c r="M1180" s="145"/>
      <c r="N1180" s="115"/>
      <c r="O1180" s="115"/>
      <c r="P1180" s="116"/>
      <c r="Q1180" s="116"/>
      <c r="R1180" s="117"/>
    </row>
    <row r="1181" spans="1:18" s="148" customFormat="1" ht="18" customHeight="1" x14ac:dyDescent="0.25">
      <c r="A1181" s="143"/>
      <c r="B1181" s="157"/>
      <c r="C1181" s="140"/>
      <c r="D1181" s="140"/>
      <c r="E1181" s="156"/>
      <c r="F1181" s="157"/>
      <c r="G1181" s="142"/>
      <c r="H1181" s="143"/>
      <c r="I1181" s="213"/>
      <c r="J1181" s="145"/>
      <c r="K1181" s="213"/>
      <c r="L1181" s="145"/>
      <c r="M1181" s="145"/>
      <c r="N1181" s="115"/>
      <c r="O1181" s="115"/>
      <c r="P1181" s="116"/>
      <c r="Q1181" s="116"/>
      <c r="R1181" s="117"/>
    </row>
    <row r="1182" spans="1:18" s="148" customFormat="1" ht="18" customHeight="1" x14ac:dyDescent="0.25">
      <c r="A1182" s="143"/>
      <c r="B1182" s="157"/>
      <c r="C1182" s="140"/>
      <c r="D1182" s="140"/>
      <c r="E1182" s="156"/>
      <c r="F1182" s="157"/>
      <c r="G1182" s="142"/>
      <c r="H1182" s="143"/>
      <c r="I1182" s="213"/>
      <c r="J1182" s="145"/>
      <c r="K1182" s="213"/>
      <c r="L1182" s="145"/>
      <c r="M1182" s="145"/>
      <c r="N1182" s="115"/>
      <c r="O1182" s="115"/>
      <c r="P1182" s="116"/>
      <c r="Q1182" s="116"/>
      <c r="R1182" s="117"/>
    </row>
    <row r="1183" spans="1:18" s="148" customFormat="1" ht="18" customHeight="1" x14ac:dyDescent="0.25">
      <c r="A1183" s="143"/>
      <c r="B1183" s="157"/>
      <c r="C1183" s="140"/>
      <c r="D1183" s="140"/>
      <c r="E1183" s="156"/>
      <c r="F1183" s="157"/>
      <c r="G1183" s="142"/>
      <c r="H1183" s="143"/>
      <c r="I1183" s="213"/>
      <c r="J1183" s="145"/>
      <c r="K1183" s="213"/>
      <c r="L1183" s="145"/>
      <c r="M1183" s="145"/>
      <c r="N1183" s="115"/>
      <c r="O1183" s="115"/>
      <c r="P1183" s="116"/>
      <c r="Q1183" s="116"/>
      <c r="R1183" s="117"/>
    </row>
    <row r="1184" spans="1:18" s="148" customFormat="1" ht="18" customHeight="1" x14ac:dyDescent="0.25">
      <c r="A1184" s="143"/>
      <c r="B1184" s="157"/>
      <c r="C1184" s="140"/>
      <c r="D1184" s="140"/>
      <c r="E1184" s="156"/>
      <c r="F1184" s="157"/>
      <c r="G1184" s="142"/>
      <c r="H1184" s="143"/>
      <c r="I1184" s="213"/>
      <c r="J1184" s="145"/>
      <c r="K1184" s="213"/>
      <c r="L1184" s="145"/>
      <c r="M1184" s="145"/>
      <c r="N1184" s="115"/>
      <c r="O1184" s="115"/>
      <c r="P1184" s="116"/>
      <c r="Q1184" s="116"/>
      <c r="R1184" s="117"/>
    </row>
    <row r="1185" spans="1:18" s="148" customFormat="1" ht="18" customHeight="1" x14ac:dyDescent="0.25">
      <c r="A1185" s="143"/>
      <c r="B1185" s="157"/>
      <c r="C1185" s="140"/>
      <c r="D1185" s="140"/>
      <c r="E1185" s="156"/>
      <c r="F1185" s="157"/>
      <c r="G1185" s="142"/>
      <c r="H1185" s="143"/>
      <c r="I1185" s="213"/>
      <c r="J1185" s="145"/>
      <c r="K1185" s="213"/>
      <c r="L1185" s="145"/>
      <c r="M1185" s="145"/>
      <c r="N1185" s="115"/>
      <c r="O1185" s="115"/>
      <c r="P1185" s="116"/>
      <c r="Q1185" s="116"/>
      <c r="R1185" s="117"/>
    </row>
    <row r="1186" spans="1:18" s="148" customFormat="1" ht="18" customHeight="1" x14ac:dyDescent="0.25">
      <c r="A1186" s="143"/>
      <c r="B1186" s="157"/>
      <c r="C1186" s="140"/>
      <c r="D1186" s="140"/>
      <c r="E1186" s="156"/>
      <c r="F1186" s="157"/>
      <c r="G1186" s="142"/>
      <c r="H1186" s="143"/>
      <c r="I1186" s="213"/>
      <c r="J1186" s="145"/>
      <c r="K1186" s="213"/>
      <c r="L1186" s="145"/>
      <c r="M1186" s="145"/>
      <c r="N1186" s="115"/>
      <c r="O1186" s="115"/>
      <c r="P1186" s="116"/>
      <c r="Q1186" s="116"/>
      <c r="R1186" s="117"/>
    </row>
    <row r="1187" spans="1:18" s="148" customFormat="1" ht="18" customHeight="1" x14ac:dyDescent="0.25">
      <c r="A1187" s="143"/>
      <c r="B1187" s="157"/>
      <c r="C1187" s="140"/>
      <c r="D1187" s="140"/>
      <c r="E1187" s="156"/>
      <c r="F1187" s="157"/>
      <c r="G1187" s="142"/>
      <c r="H1187" s="143"/>
      <c r="I1187" s="213"/>
      <c r="J1187" s="145"/>
      <c r="K1187" s="213"/>
      <c r="L1187" s="145"/>
      <c r="M1187" s="145"/>
      <c r="N1187" s="115"/>
      <c r="O1187" s="115"/>
      <c r="P1187" s="116"/>
      <c r="Q1187" s="116"/>
      <c r="R1187" s="117"/>
    </row>
    <row r="1188" spans="1:18" s="148" customFormat="1" ht="18" customHeight="1" x14ac:dyDescent="0.25">
      <c r="A1188" s="143"/>
      <c r="B1188" s="157"/>
      <c r="C1188" s="140"/>
      <c r="D1188" s="140"/>
      <c r="E1188" s="156"/>
      <c r="F1188" s="157"/>
      <c r="G1188" s="142"/>
      <c r="H1188" s="143"/>
      <c r="I1188" s="213"/>
      <c r="J1188" s="145"/>
      <c r="K1188" s="213"/>
      <c r="L1188" s="145"/>
      <c r="M1188" s="145"/>
      <c r="N1188" s="115"/>
      <c r="O1188" s="115"/>
      <c r="P1188" s="116"/>
      <c r="Q1188" s="116"/>
      <c r="R1188" s="117"/>
    </row>
    <row r="1189" spans="1:18" s="148" customFormat="1" ht="18" customHeight="1" x14ac:dyDescent="0.25">
      <c r="A1189" s="143"/>
      <c r="B1189" s="157"/>
      <c r="C1189" s="140"/>
      <c r="D1189" s="140"/>
      <c r="E1189" s="156"/>
      <c r="F1189" s="157"/>
      <c r="G1189" s="142"/>
      <c r="H1189" s="143"/>
      <c r="I1189" s="213"/>
      <c r="J1189" s="145"/>
      <c r="K1189" s="213"/>
      <c r="L1189" s="145"/>
      <c r="M1189" s="145"/>
      <c r="N1189" s="115"/>
      <c r="O1189" s="115"/>
      <c r="P1189" s="116"/>
      <c r="Q1189" s="116"/>
      <c r="R1189" s="117"/>
    </row>
    <row r="1190" spans="1:18" s="148" customFormat="1" ht="18" customHeight="1" x14ac:dyDescent="0.25">
      <c r="A1190" s="143"/>
      <c r="B1190" s="157"/>
      <c r="C1190" s="140"/>
      <c r="D1190" s="140"/>
      <c r="E1190" s="156"/>
      <c r="F1190" s="157"/>
      <c r="G1190" s="142"/>
      <c r="H1190" s="143"/>
      <c r="I1190" s="213"/>
      <c r="J1190" s="145"/>
      <c r="K1190" s="213"/>
      <c r="L1190" s="145"/>
      <c r="M1190" s="145"/>
      <c r="N1190" s="115"/>
      <c r="O1190" s="115"/>
      <c r="P1190" s="116"/>
      <c r="Q1190" s="116"/>
      <c r="R1190" s="117"/>
    </row>
    <row r="1191" spans="1:18" s="148" customFormat="1" ht="18" customHeight="1" x14ac:dyDescent="0.25">
      <c r="A1191" s="143"/>
      <c r="B1191" s="157"/>
      <c r="C1191" s="140"/>
      <c r="D1191" s="140"/>
      <c r="E1191" s="156"/>
      <c r="F1191" s="157"/>
      <c r="G1191" s="142"/>
      <c r="H1191" s="143"/>
      <c r="I1191" s="213"/>
      <c r="J1191" s="145"/>
      <c r="K1191" s="213"/>
      <c r="L1191" s="145"/>
      <c r="M1191" s="145"/>
      <c r="N1191" s="115"/>
      <c r="O1191" s="115"/>
      <c r="P1191" s="116"/>
      <c r="Q1191" s="116"/>
      <c r="R1191" s="117"/>
    </row>
    <row r="1192" spans="1:18" s="148" customFormat="1" ht="18" customHeight="1" x14ac:dyDescent="0.25">
      <c r="A1192" s="143"/>
      <c r="B1192" s="157"/>
      <c r="C1192" s="140"/>
      <c r="D1192" s="140"/>
      <c r="E1192" s="156"/>
      <c r="F1192" s="157"/>
      <c r="G1192" s="142"/>
      <c r="H1192" s="143"/>
      <c r="I1192" s="213"/>
      <c r="J1192" s="145"/>
      <c r="K1192" s="213"/>
      <c r="L1192" s="145"/>
      <c r="M1192" s="145"/>
      <c r="N1192" s="115"/>
      <c r="O1192" s="115"/>
      <c r="P1192" s="116"/>
      <c r="Q1192" s="116"/>
      <c r="R1192" s="117"/>
    </row>
    <row r="1193" spans="1:18" s="148" customFormat="1" ht="18" customHeight="1" x14ac:dyDescent="0.25">
      <c r="A1193" s="203"/>
      <c r="B1193" s="157"/>
      <c r="C1193" s="140"/>
      <c r="D1193" s="140"/>
      <c r="E1193" s="156"/>
      <c r="F1193" s="157"/>
      <c r="G1193" s="142"/>
      <c r="H1193" s="143"/>
      <c r="I1193" s="213"/>
      <c r="J1193" s="145"/>
      <c r="K1193" s="213"/>
      <c r="L1193" s="145"/>
      <c r="M1193" s="145"/>
      <c r="N1193" s="115"/>
      <c r="O1193" s="115"/>
      <c r="P1193" s="116"/>
      <c r="Q1193" s="116"/>
      <c r="R1193" s="117"/>
    </row>
    <row r="1194" spans="1:18" s="148" customFormat="1" ht="18" customHeight="1" thickBot="1" x14ac:dyDescent="0.3">
      <c r="A1194" s="261"/>
      <c r="B1194" s="262"/>
      <c r="C1194" s="263"/>
      <c r="D1194" s="263"/>
      <c r="E1194" s="264"/>
      <c r="F1194" s="262"/>
      <c r="G1194" s="265"/>
      <c r="H1194" s="266" t="s">
        <v>15</v>
      </c>
      <c r="I1194" s="165"/>
      <c r="J1194" s="165">
        <f>SUM(J1162:J1193)</f>
        <v>662784</v>
      </c>
      <c r="K1194" s="165"/>
      <c r="L1194" s="165">
        <f>SUM(L1162:L1193)</f>
        <v>694212</v>
      </c>
      <c r="M1194" s="165">
        <f>SUM(M1162:M1193)</f>
        <v>31428</v>
      </c>
      <c r="N1194" s="115"/>
      <c r="O1194" s="115"/>
      <c r="P1194" s="116"/>
      <c r="Q1194" s="116"/>
      <c r="R1194" s="117"/>
    </row>
    <row r="1195" spans="1:18" s="148" customFormat="1" ht="18" customHeight="1" thickTop="1" x14ac:dyDescent="0.25">
      <c r="A1195" s="157"/>
      <c r="B1195" s="157"/>
      <c r="C1195" s="140"/>
      <c r="D1195" s="140"/>
      <c r="E1195" s="157"/>
      <c r="F1195" s="157"/>
      <c r="G1195" s="157"/>
      <c r="H1195" s="140"/>
      <c r="I1195" s="157"/>
      <c r="J1195" s="171"/>
      <c r="K1195" s="174"/>
      <c r="L1195" s="173"/>
      <c r="M1195" s="173"/>
      <c r="N1195" s="115"/>
      <c r="O1195" s="115"/>
      <c r="P1195" s="116"/>
      <c r="Q1195" s="116"/>
      <c r="R1195" s="117"/>
    </row>
    <row r="1196" spans="1:18" s="148" customFormat="1" ht="18" customHeight="1" x14ac:dyDescent="0.25">
      <c r="A1196" s="157"/>
      <c r="B1196" s="157"/>
      <c r="C1196" s="140"/>
      <c r="D1196" s="140"/>
      <c r="E1196" s="157"/>
      <c r="F1196" s="157"/>
      <c r="G1196" s="157"/>
      <c r="H1196" s="157"/>
      <c r="I1196" s="157"/>
      <c r="J1196" s="157"/>
      <c r="K1196" s="174"/>
      <c r="L1196" s="172"/>
      <c r="M1196" s="172"/>
      <c r="N1196" s="115"/>
      <c r="O1196" s="115"/>
      <c r="P1196" s="116"/>
      <c r="Q1196" s="116"/>
      <c r="R1196" s="117"/>
    </row>
    <row r="1197" spans="1:18" s="148" customFormat="1" ht="18" customHeight="1" x14ac:dyDescent="0.25">
      <c r="A1197" s="157"/>
      <c r="B1197" s="157"/>
      <c r="C1197" s="140"/>
      <c r="D1197" s="140"/>
      <c r="E1197" s="157"/>
      <c r="F1197" s="157"/>
      <c r="G1197" s="157"/>
      <c r="H1197" s="157"/>
      <c r="I1197" s="157"/>
      <c r="J1197" s="157"/>
      <c r="K1197" s="174"/>
      <c r="L1197" s="172"/>
      <c r="M1197" s="172"/>
      <c r="N1197" s="115"/>
      <c r="O1197" s="115"/>
      <c r="P1197" s="116"/>
      <c r="Q1197" s="116"/>
      <c r="R1197" s="117"/>
    </row>
    <row r="1198" spans="1:18" s="148" customFormat="1" ht="18" customHeight="1" x14ac:dyDescent="0.25">
      <c r="A1198" s="175" t="s">
        <v>636</v>
      </c>
      <c r="B1198" s="175"/>
      <c r="C1198" s="932"/>
      <c r="D1198" s="932"/>
      <c r="E1198" s="176"/>
      <c r="F1198" s="176"/>
      <c r="G1198" s="176"/>
      <c r="H1198" s="175" t="s">
        <v>637</v>
      </c>
      <c r="I1198" s="176"/>
      <c r="K1198" s="175" t="s">
        <v>264</v>
      </c>
      <c r="L1198" s="177"/>
      <c r="M1198" s="177"/>
      <c r="N1198" s="115"/>
      <c r="O1198" s="115"/>
      <c r="P1198" s="116"/>
      <c r="Q1198" s="116"/>
      <c r="R1198" s="117"/>
    </row>
    <row r="1199" spans="1:18" s="148" customFormat="1" ht="18" customHeight="1" x14ac:dyDescent="0.25">
      <c r="A1199" s="176"/>
      <c r="B1199" s="176"/>
      <c r="C1199" s="933"/>
      <c r="D1199" s="933"/>
      <c r="E1199" s="176"/>
      <c r="F1199" s="176"/>
      <c r="G1199" s="176"/>
      <c r="H1199" s="176"/>
      <c r="I1199" s="176"/>
      <c r="J1199" s="176"/>
      <c r="K1199" s="178"/>
      <c r="L1199" s="177"/>
      <c r="M1199" s="177"/>
      <c r="N1199" s="115"/>
      <c r="O1199" s="115"/>
      <c r="P1199" s="116"/>
      <c r="Q1199" s="116"/>
      <c r="R1199" s="117"/>
    </row>
    <row r="1200" spans="1:18" s="148" customFormat="1" ht="18" customHeight="1" x14ac:dyDescent="0.25">
      <c r="A1200" s="1131" t="s">
        <v>66</v>
      </c>
      <c r="B1200" s="1131"/>
      <c r="C1200" s="1131"/>
      <c r="D1200" s="1131"/>
      <c r="E1200" s="1131"/>
      <c r="F1200" s="1131"/>
      <c r="G1200" s="176"/>
      <c r="H1200" s="1131" t="s">
        <v>17</v>
      </c>
      <c r="I1200" s="1131"/>
      <c r="J1200" s="176"/>
      <c r="K1200" s="1131" t="s">
        <v>1493</v>
      </c>
      <c r="L1200" s="1131"/>
      <c r="M1200" s="1131"/>
      <c r="N1200" s="115"/>
      <c r="O1200" s="115"/>
      <c r="P1200" s="116"/>
      <c r="Q1200" s="116"/>
      <c r="R1200" s="117"/>
    </row>
    <row r="1201" spans="1:18" s="148" customFormat="1" ht="18" customHeight="1" x14ac:dyDescent="0.25">
      <c r="A1201" s="1132" t="s">
        <v>437</v>
      </c>
      <c r="B1201" s="1132"/>
      <c r="C1201" s="1132"/>
      <c r="D1201" s="1132"/>
      <c r="E1201" s="1132"/>
      <c r="F1201" s="1132"/>
      <c r="G1201" s="179"/>
      <c r="H1201" s="1132" t="s">
        <v>18</v>
      </c>
      <c r="I1201" s="1132"/>
      <c r="J1201" s="932"/>
      <c r="K1201" s="1132" t="s">
        <v>14</v>
      </c>
      <c r="L1201" s="1132"/>
      <c r="M1201" s="1132"/>
      <c r="N1201" s="115"/>
      <c r="O1201" s="115"/>
      <c r="P1201" s="116"/>
      <c r="Q1201" s="116"/>
      <c r="R1201" s="117"/>
    </row>
    <row r="1202" spans="1:18" s="148" customFormat="1" ht="18" customHeight="1" x14ac:dyDescent="0.25">
      <c r="A1202" s="933"/>
      <c r="B1202" s="933"/>
      <c r="C1202" s="933"/>
      <c r="D1202" s="933"/>
      <c r="E1202" s="933"/>
      <c r="F1202" s="933"/>
      <c r="G1202" s="179"/>
      <c r="H1202" s="933"/>
      <c r="I1202" s="933"/>
      <c r="J1202" s="932"/>
      <c r="K1202" s="933"/>
      <c r="L1202" s="933"/>
      <c r="M1202" s="933"/>
      <c r="N1202" s="115"/>
      <c r="O1202" s="115"/>
      <c r="P1202" s="116"/>
      <c r="Q1202" s="116"/>
      <c r="R1202" s="117"/>
    </row>
    <row r="1203" spans="1:18" s="148" customFormat="1" ht="18" customHeight="1" x14ac:dyDescent="0.25">
      <c r="A1203" s="933"/>
      <c r="B1203" s="933"/>
      <c r="C1203" s="933"/>
      <c r="D1203" s="933"/>
      <c r="E1203" s="933"/>
      <c r="F1203" s="933"/>
      <c r="G1203" s="179"/>
      <c r="H1203" s="933"/>
      <c r="I1203" s="933"/>
      <c r="J1203" s="932"/>
      <c r="K1203" s="933"/>
      <c r="L1203" s="933"/>
      <c r="M1203" s="933"/>
      <c r="N1203" s="115"/>
      <c r="O1203" s="115"/>
      <c r="P1203" s="116"/>
      <c r="Q1203" s="116"/>
      <c r="R1203" s="117"/>
    </row>
    <row r="1204" spans="1:18" s="148" customFormat="1" ht="18" customHeight="1" x14ac:dyDescent="0.25">
      <c r="A1204" s="933"/>
      <c r="B1204" s="933"/>
      <c r="C1204" s="933"/>
      <c r="D1204" s="933"/>
      <c r="E1204" s="933"/>
      <c r="F1204" s="933"/>
      <c r="G1204" s="179"/>
      <c r="H1204" s="933"/>
      <c r="I1204" s="933"/>
      <c r="J1204" s="932"/>
      <c r="K1204" s="933"/>
      <c r="L1204" s="933"/>
      <c r="M1204" s="933"/>
      <c r="N1204" s="115"/>
      <c r="O1204" s="115"/>
      <c r="P1204" s="116"/>
      <c r="Q1204" s="116"/>
      <c r="R1204" s="117"/>
    </row>
    <row r="1205" spans="1:18" s="148" customFormat="1" ht="18" customHeight="1" x14ac:dyDescent="0.25">
      <c r="A1205" s="933"/>
      <c r="B1205" s="933"/>
      <c r="C1205" s="933"/>
      <c r="D1205" s="933"/>
      <c r="E1205" s="933"/>
      <c r="F1205" s="933"/>
      <c r="G1205" s="179"/>
      <c r="H1205" s="933"/>
      <c r="I1205" s="933"/>
      <c r="J1205" s="932"/>
      <c r="K1205" s="933"/>
      <c r="L1205" s="933"/>
      <c r="M1205" s="933"/>
      <c r="N1205" s="115"/>
      <c r="O1205" s="115"/>
      <c r="P1205" s="116"/>
      <c r="Q1205" s="116"/>
      <c r="R1205" s="117"/>
    </row>
    <row r="1206" spans="1:18" s="148" customFormat="1" ht="18" customHeight="1" x14ac:dyDescent="0.25">
      <c r="A1206" s="933"/>
      <c r="B1206" s="933"/>
      <c r="C1206" s="933"/>
      <c r="D1206" s="933"/>
      <c r="E1206" s="933"/>
      <c r="F1206" s="933"/>
      <c r="G1206" s="179"/>
      <c r="H1206" s="933"/>
      <c r="I1206" s="933"/>
      <c r="J1206" s="932"/>
      <c r="K1206" s="933"/>
      <c r="L1206" s="933"/>
      <c r="M1206" s="933"/>
      <c r="N1206" s="115"/>
      <c r="O1206" s="115"/>
      <c r="P1206" s="116"/>
      <c r="Q1206" s="116"/>
      <c r="R1206" s="117"/>
    </row>
    <row r="1207" spans="1:18" s="148" customFormat="1" ht="18" customHeight="1" x14ac:dyDescent="0.25">
      <c r="A1207" s="933"/>
      <c r="B1207" s="933"/>
      <c r="C1207" s="933"/>
      <c r="D1207" s="933"/>
      <c r="E1207" s="933"/>
      <c r="F1207" s="933"/>
      <c r="G1207" s="179"/>
      <c r="H1207" s="933"/>
      <c r="I1207" s="933"/>
      <c r="J1207" s="932"/>
      <c r="K1207" s="933"/>
      <c r="L1207" s="933"/>
      <c r="M1207" s="933"/>
      <c r="N1207" s="115"/>
      <c r="O1207" s="115"/>
      <c r="P1207" s="116"/>
      <c r="Q1207" s="116"/>
      <c r="R1207" s="117"/>
    </row>
    <row r="1208" spans="1:18" s="148" customFormat="1" ht="18" customHeight="1" x14ac:dyDescent="0.25">
      <c r="A1208" s="933"/>
      <c r="B1208" s="933"/>
      <c r="C1208" s="933"/>
      <c r="D1208" s="933"/>
      <c r="E1208" s="933"/>
      <c r="F1208" s="933"/>
      <c r="G1208" s="179"/>
      <c r="H1208" s="933"/>
      <c r="I1208" s="933"/>
      <c r="J1208" s="932"/>
      <c r="K1208" s="933"/>
      <c r="L1208" s="933"/>
      <c r="M1208" s="933"/>
      <c r="N1208" s="115"/>
      <c r="O1208" s="115"/>
      <c r="P1208" s="116"/>
      <c r="Q1208" s="116"/>
      <c r="R1208" s="117"/>
    </row>
    <row r="1209" spans="1:18" s="148" customFormat="1" ht="18" customHeight="1" x14ac:dyDescent="0.25">
      <c r="A1209" s="933"/>
      <c r="B1209" s="933"/>
      <c r="C1209" s="933"/>
      <c r="D1209" s="933"/>
      <c r="E1209" s="933"/>
      <c r="F1209" s="933"/>
      <c r="G1209" s="179"/>
      <c r="H1209" s="933"/>
      <c r="I1209" s="933"/>
      <c r="J1209" s="932"/>
      <c r="K1209" s="933"/>
      <c r="L1209" s="933"/>
      <c r="M1209" s="933"/>
      <c r="N1209" s="115"/>
      <c r="O1209" s="115"/>
      <c r="P1209" s="116"/>
      <c r="Q1209" s="116"/>
      <c r="R1209" s="117"/>
    </row>
    <row r="1210" spans="1:18" s="148" customFormat="1" ht="18" customHeight="1" x14ac:dyDescent="0.25">
      <c r="A1210" s="933"/>
      <c r="B1210" s="933"/>
      <c r="C1210" s="933"/>
      <c r="D1210" s="933"/>
      <c r="E1210" s="933"/>
      <c r="F1210" s="933"/>
      <c r="G1210" s="179"/>
      <c r="H1210" s="933"/>
      <c r="I1210" s="933"/>
      <c r="J1210" s="932"/>
      <c r="K1210" s="933"/>
      <c r="L1210" s="933"/>
      <c r="M1210" s="933"/>
      <c r="N1210" s="115"/>
      <c r="O1210" s="115"/>
      <c r="P1210" s="116"/>
      <c r="Q1210" s="116"/>
      <c r="R1210" s="117"/>
    </row>
    <row r="1211" spans="1:18" s="148" customFormat="1" ht="18" customHeight="1" x14ac:dyDescent="0.25">
      <c r="A1211" s="933"/>
      <c r="B1211" s="933"/>
      <c r="C1211" s="933"/>
      <c r="D1211" s="933"/>
      <c r="E1211" s="933"/>
      <c r="F1211" s="933"/>
      <c r="G1211" s="179"/>
      <c r="H1211" s="933"/>
      <c r="I1211" s="933"/>
      <c r="J1211" s="932"/>
      <c r="K1211" s="933"/>
      <c r="L1211" s="933"/>
      <c r="M1211" s="933"/>
      <c r="N1211" s="115"/>
      <c r="O1211" s="115"/>
      <c r="P1211" s="116"/>
      <c r="Q1211" s="116"/>
      <c r="R1211" s="117"/>
    </row>
    <row r="1212" spans="1:18" s="148" customFormat="1" ht="18" customHeight="1" x14ac:dyDescent="0.25">
      <c r="A1212" s="933"/>
      <c r="B1212" s="933"/>
      <c r="C1212" s="933"/>
      <c r="D1212" s="933"/>
      <c r="E1212" s="933"/>
      <c r="F1212" s="933"/>
      <c r="G1212" s="179"/>
      <c r="H1212" s="933"/>
      <c r="I1212" s="933"/>
      <c r="J1212" s="932"/>
      <c r="K1212" s="933"/>
      <c r="L1212" s="933"/>
      <c r="M1212" s="933"/>
      <c r="N1212" s="115"/>
      <c r="O1212" s="115"/>
      <c r="P1212" s="116"/>
      <c r="Q1212" s="116"/>
      <c r="R1212" s="117"/>
    </row>
    <row r="1213" spans="1:18" s="148" customFormat="1" ht="18" customHeight="1" x14ac:dyDescent="0.25">
      <c r="A1213" s="933"/>
      <c r="B1213" s="933"/>
      <c r="C1213" s="933"/>
      <c r="D1213" s="933"/>
      <c r="E1213" s="933"/>
      <c r="F1213" s="933"/>
      <c r="G1213" s="179"/>
      <c r="H1213" s="933"/>
      <c r="I1213" s="933"/>
      <c r="J1213" s="932"/>
      <c r="K1213" s="933"/>
      <c r="L1213" s="933"/>
      <c r="M1213" s="933"/>
      <c r="N1213" s="115"/>
      <c r="O1213" s="115"/>
      <c r="P1213" s="116"/>
      <c r="Q1213" s="116"/>
      <c r="R1213" s="117"/>
    </row>
    <row r="1214" spans="1:18" s="148" customFormat="1" ht="18" customHeight="1" x14ac:dyDescent="0.25">
      <c r="A1214" s="933"/>
      <c r="B1214" s="933"/>
      <c r="C1214" s="933"/>
      <c r="D1214" s="933"/>
      <c r="E1214" s="933"/>
      <c r="F1214" s="933"/>
      <c r="G1214" s="179"/>
      <c r="H1214" s="933"/>
      <c r="I1214" s="933"/>
      <c r="J1214" s="932"/>
      <c r="K1214" s="933"/>
      <c r="L1214" s="933"/>
      <c r="M1214" s="933"/>
      <c r="N1214" s="115"/>
      <c r="O1214" s="115"/>
      <c r="P1214" s="116"/>
      <c r="Q1214" s="116"/>
      <c r="R1214" s="117"/>
    </row>
    <row r="1215" spans="1:18" s="148" customFormat="1" ht="18" customHeight="1" x14ac:dyDescent="0.25">
      <c r="A1215" s="933"/>
      <c r="B1215" s="933"/>
      <c r="C1215" s="933"/>
      <c r="D1215" s="933"/>
      <c r="E1215" s="933"/>
      <c r="F1215" s="933"/>
      <c r="G1215" s="179"/>
      <c r="H1215" s="933"/>
      <c r="I1215" s="933"/>
      <c r="J1215" s="932"/>
      <c r="K1215" s="933"/>
      <c r="L1215" s="933"/>
      <c r="M1215" s="933"/>
      <c r="N1215" s="115"/>
      <c r="O1215" s="115"/>
      <c r="P1215" s="116"/>
      <c r="Q1215" s="116"/>
      <c r="R1215" s="117"/>
    </row>
    <row r="1216" spans="1:18" s="148" customFormat="1" ht="18" customHeight="1" x14ac:dyDescent="0.25">
      <c r="A1216" s="933"/>
      <c r="B1216" s="933"/>
      <c r="C1216" s="933"/>
      <c r="D1216" s="933"/>
      <c r="E1216" s="933"/>
      <c r="F1216" s="933"/>
      <c r="G1216" s="179"/>
      <c r="H1216" s="933"/>
      <c r="I1216" s="933"/>
      <c r="J1216" s="932"/>
      <c r="K1216" s="933"/>
      <c r="L1216" s="933"/>
      <c r="M1216" s="933"/>
      <c r="N1216" s="115"/>
      <c r="O1216" s="115"/>
      <c r="P1216" s="116"/>
      <c r="Q1216" s="116"/>
      <c r="R1216" s="117"/>
    </row>
    <row r="1217" spans="1:18" s="148" customFormat="1" ht="18" customHeight="1" x14ac:dyDescent="0.25">
      <c r="A1217" s="933"/>
      <c r="B1217" s="933"/>
      <c r="C1217" s="933"/>
      <c r="D1217" s="933"/>
      <c r="E1217" s="933"/>
      <c r="F1217" s="933"/>
      <c r="G1217" s="179"/>
      <c r="H1217" s="933"/>
      <c r="I1217" s="933"/>
      <c r="J1217" s="932"/>
      <c r="K1217" s="933"/>
      <c r="L1217" s="933"/>
      <c r="M1217" s="933"/>
      <c r="N1217" s="115"/>
      <c r="O1217" s="115"/>
      <c r="P1217" s="116"/>
      <c r="Q1217" s="116"/>
      <c r="R1217" s="117"/>
    </row>
    <row r="1218" spans="1:18" ht="18" customHeight="1" x14ac:dyDescent="0.3">
      <c r="A1218" s="1146" t="s">
        <v>1747</v>
      </c>
      <c r="B1218" s="1146"/>
      <c r="C1218" s="1146"/>
      <c r="D1218" s="1146"/>
      <c r="E1218" s="1146"/>
      <c r="F1218" s="1146"/>
      <c r="G1218" s="1146"/>
      <c r="H1218" s="1146"/>
      <c r="I1218" s="1146"/>
      <c r="J1218" s="1146"/>
      <c r="K1218" s="1146"/>
      <c r="L1218" s="1146"/>
      <c r="M1218" s="1146"/>
    </row>
    <row r="1219" spans="1:18" ht="18" customHeight="1" x14ac:dyDescent="0.2"/>
    <row r="1220" spans="1:18" ht="18" customHeight="1" x14ac:dyDescent="0.2">
      <c r="J1220" s="267">
        <f>SUM(J1194+J1116+J974+J909+J835+J770+J701+J627+J561+J488+J415+J345+J271+J186+J55)</f>
        <v>41069004</v>
      </c>
      <c r="L1220" s="268"/>
      <c r="M1220" s="267">
        <f>SUM(M1194+M1116+M974+M909+M835+M770+M701+M627+M561+M488+M415+M345+M271+M186+M55)</f>
        <v>2130972</v>
      </c>
    </row>
    <row r="1221" spans="1:18" ht="18" customHeight="1" x14ac:dyDescent="0.2">
      <c r="J1221" s="269">
        <f>J1220-'[2]LBP NO. 3'!J481</f>
        <v>8519736</v>
      </c>
      <c r="M1221" s="180">
        <f>M1220-'[2]LBP NO. 3'!M481</f>
        <v>-1061821</v>
      </c>
    </row>
    <row r="1222" spans="1:18" ht="18" customHeight="1" x14ac:dyDescent="0.2"/>
    <row r="1223" spans="1:18" ht="18" customHeight="1" x14ac:dyDescent="0.2"/>
    <row r="1224" spans="1:18" ht="18" customHeight="1" x14ac:dyDescent="0.2"/>
    <row r="1225" spans="1:18" ht="18" customHeight="1" x14ac:dyDescent="0.2"/>
    <row r="1226" spans="1:18" ht="18" customHeight="1" x14ac:dyDescent="0.2"/>
    <row r="1227" spans="1:18" ht="18" customHeight="1" x14ac:dyDescent="0.2"/>
    <row r="1228" spans="1:18" ht="18" customHeight="1" x14ac:dyDescent="0.2">
      <c r="C1228" s="118"/>
      <c r="D1228" s="118"/>
      <c r="K1228" s="118"/>
      <c r="L1228" s="118"/>
      <c r="M1228" s="118"/>
      <c r="N1228" s="118"/>
      <c r="O1228" s="118"/>
      <c r="P1228" s="118"/>
      <c r="Q1228" s="118"/>
      <c r="R1228" s="118"/>
    </row>
    <row r="1229" spans="1:18" ht="18" customHeight="1" x14ac:dyDescent="0.2">
      <c r="C1229" s="118"/>
      <c r="D1229" s="118"/>
      <c r="K1229" s="118"/>
      <c r="L1229" s="118"/>
      <c r="M1229" s="118"/>
      <c r="N1229" s="118"/>
      <c r="O1229" s="118"/>
      <c r="P1229" s="118"/>
      <c r="Q1229" s="118"/>
      <c r="R1229" s="118"/>
    </row>
    <row r="1230" spans="1:18" ht="18" customHeight="1" x14ac:dyDescent="0.2">
      <c r="C1230" s="118"/>
      <c r="D1230" s="118"/>
      <c r="K1230" s="118"/>
      <c r="L1230" s="118"/>
      <c r="M1230" s="118"/>
      <c r="N1230" s="118"/>
      <c r="O1230" s="118"/>
      <c r="P1230" s="118"/>
      <c r="Q1230" s="118"/>
      <c r="R1230" s="118"/>
    </row>
    <row r="1231" spans="1:18" ht="18" customHeight="1" x14ac:dyDescent="0.2">
      <c r="C1231" s="118"/>
      <c r="D1231" s="118"/>
      <c r="K1231" s="118"/>
      <c r="L1231" s="118"/>
      <c r="M1231" s="118"/>
      <c r="N1231" s="118"/>
      <c r="O1231" s="118"/>
      <c r="P1231" s="118"/>
      <c r="Q1231" s="118"/>
      <c r="R1231" s="118"/>
    </row>
    <row r="1232" spans="1:18" ht="18" customHeight="1" x14ac:dyDescent="0.2">
      <c r="C1232" s="118"/>
      <c r="D1232" s="118"/>
      <c r="K1232" s="118"/>
      <c r="L1232" s="118"/>
      <c r="M1232" s="118"/>
      <c r="N1232" s="118"/>
      <c r="O1232" s="118"/>
      <c r="P1232" s="118"/>
      <c r="Q1232" s="118"/>
      <c r="R1232" s="118"/>
    </row>
    <row r="1233" spans="3:18" ht="18" customHeight="1" x14ac:dyDescent="0.2">
      <c r="C1233" s="118"/>
      <c r="D1233" s="118"/>
      <c r="K1233" s="118"/>
      <c r="L1233" s="118"/>
      <c r="M1233" s="118"/>
      <c r="N1233" s="118"/>
      <c r="O1233" s="118"/>
      <c r="P1233" s="118"/>
      <c r="Q1233" s="118"/>
      <c r="R1233" s="118"/>
    </row>
    <row r="1234" spans="3:18" ht="18" customHeight="1" x14ac:dyDescent="0.2">
      <c r="C1234" s="118"/>
      <c r="D1234" s="118"/>
      <c r="K1234" s="118"/>
      <c r="L1234" s="118"/>
      <c r="M1234" s="118"/>
      <c r="N1234" s="118"/>
      <c r="O1234" s="118"/>
      <c r="P1234" s="118"/>
      <c r="Q1234" s="118"/>
      <c r="R1234" s="118"/>
    </row>
    <row r="1235" spans="3:18" ht="18" customHeight="1" x14ac:dyDescent="0.2">
      <c r="C1235" s="118"/>
      <c r="D1235" s="118"/>
      <c r="K1235" s="118"/>
      <c r="L1235" s="118"/>
      <c r="M1235" s="118"/>
      <c r="N1235" s="118"/>
      <c r="O1235" s="118"/>
      <c r="P1235" s="118"/>
      <c r="Q1235" s="118"/>
      <c r="R1235" s="118"/>
    </row>
    <row r="1236" spans="3:18" ht="18" customHeight="1" x14ac:dyDescent="0.2">
      <c r="C1236" s="118"/>
      <c r="D1236" s="118"/>
      <c r="K1236" s="118"/>
      <c r="L1236" s="118"/>
      <c r="M1236" s="118"/>
      <c r="N1236" s="118"/>
      <c r="O1236" s="118"/>
      <c r="P1236" s="118"/>
      <c r="Q1236" s="118"/>
      <c r="R1236" s="118"/>
    </row>
    <row r="1237" spans="3:18" ht="18" customHeight="1" x14ac:dyDescent="0.2">
      <c r="C1237" s="118"/>
      <c r="D1237" s="118"/>
      <c r="K1237" s="118"/>
      <c r="L1237" s="118"/>
      <c r="M1237" s="118"/>
      <c r="N1237" s="118"/>
      <c r="O1237" s="118"/>
      <c r="P1237" s="118"/>
      <c r="Q1237" s="118"/>
      <c r="R1237" s="118"/>
    </row>
    <row r="1238" spans="3:18" ht="18" customHeight="1" x14ac:dyDescent="0.2">
      <c r="C1238" s="118"/>
      <c r="D1238" s="118"/>
      <c r="K1238" s="118"/>
      <c r="L1238" s="118"/>
      <c r="M1238" s="118"/>
      <c r="N1238" s="118"/>
      <c r="O1238" s="118"/>
      <c r="P1238" s="118"/>
      <c r="Q1238" s="118"/>
      <c r="R1238" s="118"/>
    </row>
    <row r="1239" spans="3:18" ht="18" customHeight="1" x14ac:dyDescent="0.2">
      <c r="C1239" s="118"/>
      <c r="D1239" s="118"/>
      <c r="K1239" s="118"/>
      <c r="L1239" s="118"/>
      <c r="M1239" s="118"/>
      <c r="N1239" s="118"/>
      <c r="O1239" s="118"/>
      <c r="P1239" s="118"/>
      <c r="Q1239" s="118"/>
      <c r="R1239" s="118"/>
    </row>
    <row r="1240" spans="3:18" ht="18" customHeight="1" x14ac:dyDescent="0.2">
      <c r="C1240" s="118"/>
      <c r="D1240" s="118"/>
      <c r="K1240" s="118"/>
      <c r="L1240" s="118"/>
      <c r="M1240" s="118"/>
      <c r="N1240" s="118"/>
      <c r="O1240" s="118"/>
      <c r="P1240" s="118"/>
      <c r="Q1240" s="118"/>
      <c r="R1240" s="118"/>
    </row>
    <row r="1241" spans="3:18" ht="18" customHeight="1" x14ac:dyDescent="0.2">
      <c r="C1241" s="118"/>
      <c r="D1241" s="118"/>
      <c r="K1241" s="118"/>
      <c r="L1241" s="118"/>
      <c r="M1241" s="118"/>
      <c r="N1241" s="118"/>
      <c r="O1241" s="118"/>
      <c r="P1241" s="118"/>
      <c r="Q1241" s="118"/>
      <c r="R1241" s="118"/>
    </row>
    <row r="1242" spans="3:18" ht="18" customHeight="1" x14ac:dyDescent="0.2">
      <c r="C1242" s="118"/>
      <c r="D1242" s="118"/>
      <c r="K1242" s="118"/>
      <c r="L1242" s="118"/>
      <c r="M1242" s="118"/>
      <c r="N1242" s="118"/>
      <c r="O1242" s="118"/>
      <c r="P1242" s="118"/>
      <c r="Q1242" s="118"/>
      <c r="R1242" s="118"/>
    </row>
    <row r="1243" spans="3:18" ht="18" customHeight="1" x14ac:dyDescent="0.2">
      <c r="C1243" s="118"/>
      <c r="D1243" s="118"/>
      <c r="K1243" s="118"/>
      <c r="L1243" s="118"/>
      <c r="M1243" s="118"/>
      <c r="N1243" s="118"/>
      <c r="O1243" s="118"/>
      <c r="P1243" s="118"/>
      <c r="Q1243" s="118"/>
      <c r="R1243" s="118"/>
    </row>
    <row r="1244" spans="3:18" ht="18" customHeight="1" x14ac:dyDescent="0.2">
      <c r="C1244" s="118"/>
      <c r="D1244" s="118"/>
      <c r="K1244" s="118"/>
      <c r="L1244" s="118"/>
      <c r="M1244" s="118"/>
      <c r="N1244" s="118"/>
      <c r="O1244" s="118"/>
      <c r="P1244" s="118"/>
      <c r="Q1244" s="118"/>
      <c r="R1244" s="118"/>
    </row>
    <row r="1245" spans="3:18" ht="18" customHeight="1" x14ac:dyDescent="0.2">
      <c r="C1245" s="118"/>
      <c r="D1245" s="118"/>
      <c r="K1245" s="118"/>
      <c r="L1245" s="118"/>
      <c r="M1245" s="118"/>
      <c r="N1245" s="118"/>
      <c r="O1245" s="118"/>
      <c r="P1245" s="118"/>
      <c r="Q1245" s="118"/>
      <c r="R1245" s="118"/>
    </row>
    <row r="1246" spans="3:18" ht="18" customHeight="1" x14ac:dyDescent="0.2">
      <c r="C1246" s="118"/>
      <c r="D1246" s="118"/>
      <c r="K1246" s="118"/>
      <c r="L1246" s="118"/>
      <c r="M1246" s="118"/>
      <c r="N1246" s="118"/>
      <c r="O1246" s="118"/>
      <c r="P1246" s="118"/>
      <c r="Q1246" s="118"/>
      <c r="R1246" s="118"/>
    </row>
    <row r="1247" spans="3:18" ht="18" customHeight="1" x14ac:dyDescent="0.2">
      <c r="C1247" s="118"/>
      <c r="D1247" s="118"/>
      <c r="K1247" s="118"/>
      <c r="L1247" s="118"/>
      <c r="M1247" s="118"/>
      <c r="N1247" s="118"/>
      <c r="O1247" s="118"/>
      <c r="P1247" s="118"/>
      <c r="Q1247" s="118"/>
      <c r="R1247" s="118"/>
    </row>
    <row r="1248" spans="3:18" ht="18" customHeight="1" x14ac:dyDescent="0.2">
      <c r="C1248" s="118"/>
      <c r="D1248" s="118"/>
      <c r="K1248" s="118"/>
      <c r="L1248" s="118"/>
      <c r="M1248" s="118"/>
      <c r="N1248" s="118"/>
      <c r="O1248" s="118"/>
      <c r="P1248" s="118"/>
      <c r="Q1248" s="118"/>
      <c r="R1248" s="118"/>
    </row>
    <row r="1249" spans="3:18" ht="18" customHeight="1" x14ac:dyDescent="0.2">
      <c r="C1249" s="118"/>
      <c r="D1249" s="118"/>
      <c r="K1249" s="118"/>
      <c r="L1249" s="118"/>
      <c r="M1249" s="118"/>
      <c r="N1249" s="118"/>
      <c r="O1249" s="118"/>
      <c r="P1249" s="118"/>
      <c r="Q1249" s="118"/>
      <c r="R1249" s="118"/>
    </row>
    <row r="1250" spans="3:18" ht="18" customHeight="1" x14ac:dyDescent="0.2">
      <c r="C1250" s="118"/>
      <c r="D1250" s="118"/>
      <c r="K1250" s="118"/>
      <c r="L1250" s="118"/>
      <c r="M1250" s="118"/>
      <c r="N1250" s="118"/>
      <c r="O1250" s="118"/>
      <c r="P1250" s="118"/>
      <c r="Q1250" s="118"/>
      <c r="R1250" s="118"/>
    </row>
    <row r="1251" spans="3:18" ht="18" customHeight="1" x14ac:dyDescent="0.2">
      <c r="C1251" s="118"/>
      <c r="D1251" s="118"/>
      <c r="K1251" s="118"/>
      <c r="L1251" s="118"/>
      <c r="M1251" s="118"/>
      <c r="N1251" s="118"/>
      <c r="O1251" s="118"/>
      <c r="P1251" s="118"/>
      <c r="Q1251" s="118"/>
      <c r="R1251" s="118"/>
    </row>
    <row r="1252" spans="3:18" ht="18" customHeight="1" x14ac:dyDescent="0.2">
      <c r="C1252" s="118"/>
      <c r="D1252" s="118"/>
      <c r="K1252" s="118"/>
      <c r="L1252" s="118"/>
      <c r="M1252" s="118"/>
      <c r="N1252" s="118"/>
      <c r="O1252" s="118"/>
      <c r="P1252" s="118"/>
      <c r="Q1252" s="118"/>
      <c r="R1252" s="118"/>
    </row>
    <row r="1253" spans="3:18" ht="18" customHeight="1" x14ac:dyDescent="0.2">
      <c r="C1253" s="118"/>
      <c r="D1253" s="118"/>
      <c r="K1253" s="118"/>
      <c r="L1253" s="118"/>
      <c r="M1253" s="118"/>
      <c r="N1253" s="118"/>
      <c r="O1253" s="118"/>
      <c r="P1253" s="118"/>
      <c r="Q1253" s="118"/>
      <c r="R1253" s="118"/>
    </row>
    <row r="1254" spans="3:18" ht="18" customHeight="1" x14ac:dyDescent="0.2">
      <c r="C1254" s="118"/>
      <c r="D1254" s="118"/>
      <c r="K1254" s="118"/>
      <c r="L1254" s="118"/>
      <c r="M1254" s="118"/>
      <c r="N1254" s="118"/>
      <c r="O1254" s="118"/>
      <c r="P1254" s="118"/>
      <c r="Q1254" s="118"/>
      <c r="R1254" s="118"/>
    </row>
    <row r="1255" spans="3:18" ht="18" customHeight="1" x14ac:dyDescent="0.2">
      <c r="C1255" s="118"/>
      <c r="D1255" s="118"/>
      <c r="K1255" s="118"/>
      <c r="L1255" s="118"/>
      <c r="M1255" s="118"/>
      <c r="N1255" s="118"/>
      <c r="O1255" s="118"/>
      <c r="P1255" s="118"/>
      <c r="Q1255" s="118"/>
      <c r="R1255" s="118"/>
    </row>
    <row r="1256" spans="3:18" ht="18" customHeight="1" x14ac:dyDescent="0.2">
      <c r="C1256" s="118"/>
      <c r="D1256" s="118"/>
      <c r="K1256" s="118"/>
      <c r="L1256" s="118"/>
      <c r="M1256" s="118"/>
      <c r="N1256" s="118"/>
      <c r="O1256" s="118"/>
      <c r="P1256" s="118"/>
      <c r="Q1256" s="118"/>
      <c r="R1256" s="118"/>
    </row>
    <row r="1257" spans="3:18" ht="18" customHeight="1" x14ac:dyDescent="0.2">
      <c r="C1257" s="118"/>
      <c r="D1257" s="118"/>
      <c r="K1257" s="118"/>
      <c r="L1257" s="118"/>
      <c r="M1257" s="118"/>
      <c r="N1257" s="118"/>
      <c r="O1257" s="118"/>
      <c r="P1257" s="118"/>
      <c r="Q1257" s="118"/>
      <c r="R1257" s="118"/>
    </row>
    <row r="1258" spans="3:18" ht="18" customHeight="1" x14ac:dyDescent="0.2">
      <c r="C1258" s="118"/>
      <c r="D1258" s="118"/>
      <c r="K1258" s="118"/>
      <c r="L1258" s="118"/>
      <c r="M1258" s="118"/>
      <c r="N1258" s="118"/>
      <c r="O1258" s="118"/>
      <c r="P1258" s="118"/>
      <c r="Q1258" s="118"/>
      <c r="R1258" s="118"/>
    </row>
    <row r="1259" spans="3:18" ht="18" customHeight="1" x14ac:dyDescent="0.2">
      <c r="C1259" s="118"/>
      <c r="D1259" s="118"/>
      <c r="K1259" s="118"/>
      <c r="L1259" s="118"/>
      <c r="M1259" s="118"/>
      <c r="N1259" s="118"/>
      <c r="O1259" s="118"/>
      <c r="P1259" s="118"/>
      <c r="Q1259" s="118"/>
      <c r="R1259" s="118"/>
    </row>
    <row r="1260" spans="3:18" ht="18" customHeight="1" x14ac:dyDescent="0.2">
      <c r="C1260" s="118"/>
      <c r="D1260" s="118"/>
      <c r="K1260" s="118"/>
      <c r="L1260" s="118"/>
      <c r="M1260" s="118"/>
      <c r="N1260" s="118"/>
      <c r="O1260" s="118"/>
      <c r="P1260" s="118"/>
      <c r="Q1260" s="118"/>
      <c r="R1260" s="118"/>
    </row>
    <row r="1261" spans="3:18" ht="18" customHeight="1" x14ac:dyDescent="0.2">
      <c r="C1261" s="118"/>
      <c r="D1261" s="118"/>
      <c r="K1261" s="118"/>
      <c r="L1261" s="118"/>
      <c r="M1261" s="118"/>
      <c r="N1261" s="118"/>
      <c r="O1261" s="118"/>
      <c r="P1261" s="118"/>
      <c r="Q1261" s="118"/>
      <c r="R1261" s="118"/>
    </row>
    <row r="1262" spans="3:18" ht="18" customHeight="1" x14ac:dyDescent="0.2">
      <c r="C1262" s="118"/>
      <c r="D1262" s="118"/>
      <c r="K1262" s="118"/>
      <c r="L1262" s="118"/>
      <c r="M1262" s="118"/>
      <c r="N1262" s="118"/>
      <c r="O1262" s="118"/>
      <c r="P1262" s="118"/>
      <c r="Q1262" s="118"/>
      <c r="R1262" s="118"/>
    </row>
    <row r="1263" spans="3:18" ht="18" customHeight="1" x14ac:dyDescent="0.2">
      <c r="C1263" s="118"/>
      <c r="D1263" s="118"/>
      <c r="K1263" s="118"/>
      <c r="L1263" s="118"/>
      <c r="M1263" s="118"/>
      <c r="N1263" s="118"/>
      <c r="O1263" s="118"/>
      <c r="P1263" s="118"/>
      <c r="Q1263" s="118"/>
      <c r="R1263" s="118"/>
    </row>
    <row r="1264" spans="3:18" ht="18" customHeight="1" x14ac:dyDescent="0.2">
      <c r="C1264" s="118"/>
      <c r="D1264" s="118"/>
      <c r="K1264" s="118"/>
      <c r="L1264" s="118"/>
      <c r="M1264" s="118"/>
      <c r="N1264" s="118"/>
      <c r="O1264" s="118"/>
      <c r="P1264" s="118"/>
      <c r="Q1264" s="118"/>
      <c r="R1264" s="118"/>
    </row>
    <row r="1265" spans="3:18" ht="18" customHeight="1" x14ac:dyDescent="0.2">
      <c r="C1265" s="118"/>
      <c r="D1265" s="118"/>
      <c r="K1265" s="118"/>
      <c r="L1265" s="118"/>
      <c r="M1265" s="118"/>
      <c r="N1265" s="118"/>
      <c r="O1265" s="118"/>
      <c r="P1265" s="118"/>
      <c r="Q1265" s="118"/>
      <c r="R1265" s="118"/>
    </row>
    <row r="1266" spans="3:18" ht="18" customHeight="1" x14ac:dyDescent="0.2">
      <c r="C1266" s="118"/>
      <c r="D1266" s="118"/>
      <c r="K1266" s="118"/>
      <c r="L1266" s="118"/>
      <c r="M1266" s="118"/>
      <c r="N1266" s="118"/>
      <c r="O1266" s="118"/>
      <c r="P1266" s="118"/>
      <c r="Q1266" s="118"/>
      <c r="R1266" s="118"/>
    </row>
    <row r="1267" spans="3:18" ht="18" customHeight="1" x14ac:dyDescent="0.2">
      <c r="C1267" s="118"/>
      <c r="D1267" s="118"/>
      <c r="K1267" s="118"/>
      <c r="L1267" s="118"/>
      <c r="M1267" s="118"/>
      <c r="N1267" s="118"/>
      <c r="O1267" s="118"/>
      <c r="P1267" s="118"/>
      <c r="Q1267" s="118"/>
      <c r="R1267" s="118"/>
    </row>
    <row r="1268" spans="3:18" ht="18" customHeight="1" x14ac:dyDescent="0.2">
      <c r="C1268" s="118"/>
      <c r="D1268" s="118"/>
      <c r="K1268" s="118"/>
      <c r="L1268" s="118"/>
      <c r="M1268" s="118"/>
      <c r="N1268" s="118"/>
      <c r="O1268" s="118"/>
      <c r="P1268" s="118"/>
      <c r="Q1268" s="118"/>
      <c r="R1268" s="118"/>
    </row>
    <row r="1269" spans="3:18" ht="18" customHeight="1" x14ac:dyDescent="0.2">
      <c r="C1269" s="118"/>
      <c r="D1269" s="118"/>
      <c r="K1269" s="118"/>
      <c r="L1269" s="118"/>
      <c r="M1269" s="118"/>
      <c r="N1269" s="118"/>
      <c r="O1269" s="118"/>
      <c r="P1269" s="118"/>
      <c r="Q1269" s="118"/>
      <c r="R1269" s="118"/>
    </row>
    <row r="1270" spans="3:18" ht="18" customHeight="1" x14ac:dyDescent="0.2">
      <c r="C1270" s="118"/>
      <c r="D1270" s="118"/>
      <c r="K1270" s="118"/>
      <c r="L1270" s="118"/>
      <c r="M1270" s="118"/>
      <c r="N1270" s="118"/>
      <c r="O1270" s="118"/>
      <c r="P1270" s="118"/>
      <c r="Q1270" s="118"/>
      <c r="R1270" s="118"/>
    </row>
    <row r="1271" spans="3:18" ht="18" customHeight="1" x14ac:dyDescent="0.2">
      <c r="C1271" s="118"/>
      <c r="D1271" s="118"/>
      <c r="K1271" s="118"/>
      <c r="L1271" s="118"/>
      <c r="M1271" s="118"/>
      <c r="N1271" s="118"/>
      <c r="O1271" s="118"/>
      <c r="P1271" s="118"/>
      <c r="Q1271" s="118"/>
      <c r="R1271" s="118"/>
    </row>
    <row r="1272" spans="3:18" ht="18" customHeight="1" x14ac:dyDescent="0.2">
      <c r="C1272" s="118"/>
      <c r="D1272" s="118"/>
      <c r="K1272" s="118"/>
      <c r="L1272" s="118"/>
      <c r="M1272" s="118"/>
      <c r="N1272" s="118"/>
      <c r="O1272" s="118"/>
      <c r="P1272" s="118"/>
      <c r="Q1272" s="118"/>
      <c r="R1272" s="118"/>
    </row>
    <row r="1273" spans="3:18" ht="18" customHeight="1" x14ac:dyDescent="0.2">
      <c r="C1273" s="118"/>
      <c r="D1273" s="118"/>
      <c r="K1273" s="118"/>
      <c r="L1273" s="118"/>
      <c r="M1273" s="118"/>
      <c r="N1273" s="118"/>
      <c r="O1273" s="118"/>
      <c r="P1273" s="118"/>
      <c r="Q1273" s="118"/>
      <c r="R1273" s="118"/>
    </row>
    <row r="1274" spans="3:18" ht="18" customHeight="1" x14ac:dyDescent="0.2">
      <c r="C1274" s="118"/>
      <c r="D1274" s="118"/>
      <c r="K1274" s="118"/>
      <c r="L1274" s="118"/>
      <c r="M1274" s="118"/>
      <c r="N1274" s="118"/>
      <c r="O1274" s="118"/>
      <c r="P1274" s="118"/>
      <c r="Q1274" s="118"/>
      <c r="R1274" s="118"/>
    </row>
    <row r="1275" spans="3:18" ht="18" customHeight="1" x14ac:dyDescent="0.2">
      <c r="C1275" s="118"/>
      <c r="D1275" s="118"/>
      <c r="K1275" s="118"/>
      <c r="L1275" s="118"/>
      <c r="M1275" s="118"/>
      <c r="N1275" s="118"/>
      <c r="O1275" s="118"/>
      <c r="P1275" s="118"/>
      <c r="Q1275" s="118"/>
      <c r="R1275" s="118"/>
    </row>
    <row r="1276" spans="3:18" ht="18" customHeight="1" x14ac:dyDescent="0.2">
      <c r="C1276" s="118"/>
      <c r="D1276" s="118"/>
      <c r="K1276" s="118"/>
      <c r="L1276" s="118"/>
      <c r="M1276" s="118"/>
      <c r="N1276" s="118"/>
      <c r="O1276" s="118"/>
      <c r="P1276" s="118"/>
      <c r="Q1276" s="118"/>
      <c r="R1276" s="118"/>
    </row>
    <row r="1277" spans="3:18" ht="18" customHeight="1" x14ac:dyDescent="0.2">
      <c r="C1277" s="118"/>
      <c r="D1277" s="118"/>
      <c r="K1277" s="118"/>
      <c r="L1277" s="118"/>
      <c r="M1277" s="118"/>
      <c r="N1277" s="118"/>
      <c r="O1277" s="118"/>
      <c r="P1277" s="118"/>
      <c r="Q1277" s="118"/>
      <c r="R1277" s="118"/>
    </row>
    <row r="1278" spans="3:18" ht="18" customHeight="1" x14ac:dyDescent="0.2">
      <c r="C1278" s="118"/>
      <c r="D1278" s="118"/>
      <c r="K1278" s="118"/>
      <c r="L1278" s="118"/>
      <c r="M1278" s="118"/>
      <c r="N1278" s="118"/>
      <c r="O1278" s="118"/>
      <c r="P1278" s="118"/>
      <c r="Q1278" s="118"/>
      <c r="R1278" s="118"/>
    </row>
    <row r="1279" spans="3:18" ht="18" customHeight="1" x14ac:dyDescent="0.2">
      <c r="C1279" s="118"/>
      <c r="D1279" s="118"/>
      <c r="K1279" s="118"/>
      <c r="L1279" s="118"/>
      <c r="M1279" s="118"/>
      <c r="N1279" s="118"/>
      <c r="O1279" s="118"/>
      <c r="P1279" s="118"/>
      <c r="Q1279" s="118"/>
      <c r="R1279" s="118"/>
    </row>
    <row r="1280" spans="3:18" ht="18" customHeight="1" x14ac:dyDescent="0.2">
      <c r="C1280" s="118"/>
      <c r="D1280" s="118"/>
      <c r="K1280" s="118"/>
      <c r="L1280" s="118"/>
      <c r="M1280" s="118"/>
      <c r="N1280" s="118"/>
      <c r="O1280" s="118"/>
      <c r="P1280" s="118"/>
      <c r="Q1280" s="118"/>
      <c r="R1280" s="118"/>
    </row>
    <row r="1281" spans="3:18" ht="18" customHeight="1" x14ac:dyDescent="0.2">
      <c r="C1281" s="118"/>
      <c r="D1281" s="118"/>
      <c r="K1281" s="118"/>
      <c r="L1281" s="118"/>
      <c r="M1281" s="118"/>
      <c r="N1281" s="118"/>
      <c r="O1281" s="118"/>
      <c r="P1281" s="118"/>
      <c r="Q1281" s="118"/>
      <c r="R1281" s="118"/>
    </row>
    <row r="1282" spans="3:18" ht="18" customHeight="1" x14ac:dyDescent="0.2">
      <c r="C1282" s="118"/>
      <c r="D1282" s="118"/>
      <c r="K1282" s="118"/>
      <c r="L1282" s="118"/>
      <c r="M1282" s="118"/>
      <c r="N1282" s="118"/>
      <c r="O1282" s="118"/>
      <c r="P1282" s="118"/>
      <c r="Q1282" s="118"/>
      <c r="R1282" s="118"/>
    </row>
    <row r="1283" spans="3:18" ht="18" customHeight="1" x14ac:dyDescent="0.2">
      <c r="C1283" s="118"/>
      <c r="D1283" s="118"/>
      <c r="K1283" s="118"/>
      <c r="L1283" s="118"/>
      <c r="M1283" s="118"/>
      <c r="N1283" s="118"/>
      <c r="O1283" s="118"/>
      <c r="P1283" s="118"/>
      <c r="Q1283" s="118"/>
      <c r="R1283" s="118"/>
    </row>
    <row r="1284" spans="3:18" ht="18" customHeight="1" x14ac:dyDescent="0.2">
      <c r="C1284" s="118"/>
      <c r="D1284" s="118"/>
      <c r="K1284" s="118"/>
      <c r="L1284" s="118"/>
      <c r="M1284" s="118"/>
      <c r="N1284" s="118"/>
      <c r="O1284" s="118"/>
      <c r="P1284" s="118"/>
      <c r="Q1284" s="118"/>
      <c r="R1284" s="118"/>
    </row>
    <row r="1285" spans="3:18" ht="18" customHeight="1" x14ac:dyDescent="0.2">
      <c r="C1285" s="118"/>
      <c r="D1285" s="118"/>
      <c r="K1285" s="118"/>
      <c r="L1285" s="118"/>
      <c r="M1285" s="118"/>
      <c r="N1285" s="118"/>
      <c r="O1285" s="118"/>
      <c r="P1285" s="118"/>
      <c r="Q1285" s="118"/>
      <c r="R1285" s="118"/>
    </row>
    <row r="1286" spans="3:18" ht="18" customHeight="1" x14ac:dyDescent="0.2">
      <c r="C1286" s="118"/>
      <c r="D1286" s="118"/>
      <c r="K1286" s="118"/>
      <c r="L1286" s="118"/>
      <c r="M1286" s="118"/>
      <c r="N1286" s="118"/>
      <c r="O1286" s="118"/>
      <c r="P1286" s="118"/>
      <c r="Q1286" s="118"/>
      <c r="R1286" s="118"/>
    </row>
    <row r="1287" spans="3:18" ht="18" customHeight="1" x14ac:dyDescent="0.2">
      <c r="C1287" s="118"/>
      <c r="D1287" s="118"/>
      <c r="K1287" s="118"/>
      <c r="L1287" s="118"/>
      <c r="M1287" s="118"/>
      <c r="N1287" s="118"/>
      <c r="O1287" s="118"/>
      <c r="P1287" s="118"/>
      <c r="Q1287" s="118"/>
      <c r="R1287" s="118"/>
    </row>
    <row r="1288" spans="3:18" ht="18" customHeight="1" x14ac:dyDescent="0.2">
      <c r="C1288" s="118"/>
      <c r="D1288" s="118"/>
      <c r="K1288" s="118"/>
      <c r="L1288" s="118"/>
      <c r="M1288" s="118"/>
      <c r="N1288" s="118"/>
      <c r="O1288" s="118"/>
      <c r="P1288" s="118"/>
      <c r="Q1288" s="118"/>
      <c r="R1288" s="118"/>
    </row>
    <row r="1289" spans="3:18" ht="18" customHeight="1" x14ac:dyDescent="0.2">
      <c r="C1289" s="118"/>
      <c r="D1289" s="118"/>
      <c r="K1289" s="118"/>
      <c r="L1289" s="118"/>
      <c r="M1289" s="118"/>
      <c r="N1289" s="118"/>
      <c r="O1289" s="118"/>
      <c r="P1289" s="118"/>
      <c r="Q1289" s="118"/>
      <c r="R1289" s="118"/>
    </row>
    <row r="1290" spans="3:18" ht="18" customHeight="1" x14ac:dyDescent="0.2">
      <c r="C1290" s="118"/>
      <c r="D1290" s="118"/>
      <c r="K1290" s="118"/>
      <c r="L1290" s="118"/>
      <c r="M1290" s="118"/>
      <c r="N1290" s="118"/>
      <c r="O1290" s="118"/>
      <c r="P1290" s="118"/>
      <c r="Q1290" s="118"/>
      <c r="R1290" s="118"/>
    </row>
    <row r="1291" spans="3:18" ht="18" customHeight="1" x14ac:dyDescent="0.2">
      <c r="C1291" s="118"/>
      <c r="D1291" s="118"/>
      <c r="K1291" s="118"/>
      <c r="L1291" s="118"/>
      <c r="M1291" s="118"/>
      <c r="N1291" s="118"/>
      <c r="O1291" s="118"/>
      <c r="P1291" s="118"/>
      <c r="Q1291" s="118"/>
      <c r="R1291" s="118"/>
    </row>
    <row r="1292" spans="3:18" ht="18" customHeight="1" x14ac:dyDescent="0.2">
      <c r="C1292" s="118"/>
      <c r="D1292" s="118"/>
      <c r="K1292" s="118"/>
      <c r="L1292" s="118"/>
      <c r="M1292" s="118"/>
      <c r="N1292" s="118"/>
      <c r="O1292" s="118"/>
      <c r="P1292" s="118"/>
      <c r="Q1292" s="118"/>
      <c r="R1292" s="118"/>
    </row>
    <row r="1293" spans="3:18" ht="18" customHeight="1" x14ac:dyDescent="0.2">
      <c r="C1293" s="118"/>
      <c r="D1293" s="118"/>
      <c r="K1293" s="118"/>
      <c r="L1293" s="118"/>
      <c r="M1293" s="118"/>
      <c r="N1293" s="118"/>
      <c r="O1293" s="118"/>
      <c r="P1293" s="118"/>
      <c r="Q1293" s="118"/>
      <c r="R1293" s="118"/>
    </row>
    <row r="1294" spans="3:18" ht="18" customHeight="1" x14ac:dyDescent="0.2">
      <c r="C1294" s="118"/>
      <c r="D1294" s="118"/>
      <c r="K1294" s="118"/>
      <c r="L1294" s="118"/>
      <c r="M1294" s="118"/>
      <c r="N1294" s="118"/>
      <c r="O1294" s="118"/>
      <c r="P1294" s="118"/>
      <c r="Q1294" s="118"/>
      <c r="R1294" s="118"/>
    </row>
    <row r="1295" spans="3:18" ht="18" customHeight="1" x14ac:dyDescent="0.2">
      <c r="C1295" s="118"/>
      <c r="D1295" s="118"/>
      <c r="K1295" s="118"/>
      <c r="L1295" s="118"/>
      <c r="M1295" s="118"/>
      <c r="N1295" s="118"/>
      <c r="O1295" s="118"/>
      <c r="P1295" s="118"/>
      <c r="Q1295" s="118"/>
      <c r="R1295" s="118"/>
    </row>
  </sheetData>
  <mergeCells count="395">
    <mergeCell ref="A1218:M1218"/>
    <mergeCell ref="B1160:D1160"/>
    <mergeCell ref="E1160:G1160"/>
    <mergeCell ref="A1200:F1200"/>
    <mergeCell ref="H1200:I1200"/>
    <mergeCell ref="K1200:M1200"/>
    <mergeCell ref="A1201:F1201"/>
    <mergeCell ref="H1201:I1201"/>
    <mergeCell ref="K1201:M1201"/>
    <mergeCell ref="B1157:D1157"/>
    <mergeCell ref="E1157:G1157"/>
    <mergeCell ref="I1157:J1157"/>
    <mergeCell ref="K1157:L1157"/>
    <mergeCell ref="I1158:J1158"/>
    <mergeCell ref="K1158:L1158"/>
    <mergeCell ref="A1146:M1146"/>
    <mergeCell ref="A1148:M1148"/>
    <mergeCell ref="A1149:M1149"/>
    <mergeCell ref="A1150:M1150"/>
    <mergeCell ref="A1156:D1156"/>
    <mergeCell ref="E1156:G1156"/>
    <mergeCell ref="I1156:J1156"/>
    <mergeCell ref="K1156:L1156"/>
    <mergeCell ref="A1123:F1123"/>
    <mergeCell ref="H1123:I1123"/>
    <mergeCell ref="K1123:M1123"/>
    <mergeCell ref="E1124:G1124"/>
    <mergeCell ref="K1124:M1124"/>
    <mergeCell ref="A1140:M1140"/>
    <mergeCell ref="I1078:J1078"/>
    <mergeCell ref="K1078:L1078"/>
    <mergeCell ref="B1080:D1080"/>
    <mergeCell ref="E1080:G1080"/>
    <mergeCell ref="A1122:F1122"/>
    <mergeCell ref="H1122:I1122"/>
    <mergeCell ref="K1122:M1122"/>
    <mergeCell ref="B1092:D1092"/>
    <mergeCell ref="A1076:D1076"/>
    <mergeCell ref="E1076:G1076"/>
    <mergeCell ref="I1076:J1076"/>
    <mergeCell ref="K1076:L1076"/>
    <mergeCell ref="B1077:D1077"/>
    <mergeCell ref="E1077:G1077"/>
    <mergeCell ref="I1077:J1077"/>
    <mergeCell ref="K1077:L1077"/>
    <mergeCell ref="B1005:D1005"/>
    <mergeCell ref="E1005:G1005"/>
    <mergeCell ref="A1067:M1067"/>
    <mergeCell ref="A1069:M1069"/>
    <mergeCell ref="A1070:M1070"/>
    <mergeCell ref="A1071:M1071"/>
    <mergeCell ref="B1002:D1002"/>
    <mergeCell ref="E1002:G1002"/>
    <mergeCell ref="I1002:J1002"/>
    <mergeCell ref="K1002:L1002"/>
    <mergeCell ref="I1003:J1003"/>
    <mergeCell ref="K1003:L1003"/>
    <mergeCell ref="A994:M994"/>
    <mergeCell ref="A995:M995"/>
    <mergeCell ref="A996:M996"/>
    <mergeCell ref="A1001:D1001"/>
    <mergeCell ref="E1001:G1001"/>
    <mergeCell ref="I1001:J1001"/>
    <mergeCell ref="K1001:L1001"/>
    <mergeCell ref="A981:F981"/>
    <mergeCell ref="H981:I981"/>
    <mergeCell ref="K981:M981"/>
    <mergeCell ref="E982:G982"/>
    <mergeCell ref="K982:M982"/>
    <mergeCell ref="A992:M992"/>
    <mergeCell ref="B935:D935"/>
    <mergeCell ref="E935:G935"/>
    <mergeCell ref="B938:D938"/>
    <mergeCell ref="A980:F980"/>
    <mergeCell ref="H980:I980"/>
    <mergeCell ref="K980:M980"/>
    <mergeCell ref="B932:D932"/>
    <mergeCell ref="E932:G932"/>
    <mergeCell ref="I932:J932"/>
    <mergeCell ref="K932:L932"/>
    <mergeCell ref="I933:J933"/>
    <mergeCell ref="K933:L933"/>
    <mergeCell ref="A925:M925"/>
    <mergeCell ref="A926:M926"/>
    <mergeCell ref="A931:D931"/>
    <mergeCell ref="E931:G931"/>
    <mergeCell ref="I931:J931"/>
    <mergeCell ref="K931:L931"/>
    <mergeCell ref="K915:M915"/>
    <mergeCell ref="A916:F916"/>
    <mergeCell ref="H916:I916"/>
    <mergeCell ref="K916:M916"/>
    <mergeCell ref="A922:M922"/>
    <mergeCell ref="A924:M924"/>
    <mergeCell ref="B866:D866"/>
    <mergeCell ref="E866:G866"/>
    <mergeCell ref="B874:D874"/>
    <mergeCell ref="B875:D875"/>
    <mergeCell ref="A915:F915"/>
    <mergeCell ref="H915:I915"/>
    <mergeCell ref="B863:D863"/>
    <mergeCell ref="E863:G863"/>
    <mergeCell ref="I863:J863"/>
    <mergeCell ref="K863:L863"/>
    <mergeCell ref="I864:J864"/>
    <mergeCell ref="K864:L864"/>
    <mergeCell ref="A855:M855"/>
    <mergeCell ref="A856:M856"/>
    <mergeCell ref="A857:M857"/>
    <mergeCell ref="A862:D862"/>
    <mergeCell ref="E862:G862"/>
    <mergeCell ref="I862:J862"/>
    <mergeCell ref="K862:L862"/>
    <mergeCell ref="A842:F842"/>
    <mergeCell ref="H842:I842"/>
    <mergeCell ref="K842:M842"/>
    <mergeCell ref="E850:G850"/>
    <mergeCell ref="K850:M850"/>
    <mergeCell ref="A853:M853"/>
    <mergeCell ref="I799:J799"/>
    <mergeCell ref="K799:L799"/>
    <mergeCell ref="B801:D801"/>
    <mergeCell ref="E801:G801"/>
    <mergeCell ref="A841:F841"/>
    <mergeCell ref="H841:I841"/>
    <mergeCell ref="K841:M841"/>
    <mergeCell ref="A797:D797"/>
    <mergeCell ref="E797:G797"/>
    <mergeCell ref="I797:J797"/>
    <mergeCell ref="K797:L797"/>
    <mergeCell ref="B798:D798"/>
    <mergeCell ref="E798:G798"/>
    <mergeCell ref="I798:J798"/>
    <mergeCell ref="K798:L798"/>
    <mergeCell ref="E778:G778"/>
    <mergeCell ref="K778:M778"/>
    <mergeCell ref="A788:M788"/>
    <mergeCell ref="A790:M790"/>
    <mergeCell ref="A791:M791"/>
    <mergeCell ref="A792:M792"/>
    <mergeCell ref="B729:D729"/>
    <mergeCell ref="E729:G729"/>
    <mergeCell ref="A776:F776"/>
    <mergeCell ref="H776:I776"/>
    <mergeCell ref="K776:M776"/>
    <mergeCell ref="A777:F777"/>
    <mergeCell ref="H777:I777"/>
    <mergeCell ref="K777:M777"/>
    <mergeCell ref="B726:D726"/>
    <mergeCell ref="E726:G726"/>
    <mergeCell ref="I726:J726"/>
    <mergeCell ref="K726:L726"/>
    <mergeCell ref="I727:J727"/>
    <mergeCell ref="K727:L727"/>
    <mergeCell ref="A718:M718"/>
    <mergeCell ref="A719:M719"/>
    <mergeCell ref="A720:M720"/>
    <mergeCell ref="A725:D725"/>
    <mergeCell ref="E725:G725"/>
    <mergeCell ref="I725:J725"/>
    <mergeCell ref="K725:L725"/>
    <mergeCell ref="A708:F708"/>
    <mergeCell ref="H708:I708"/>
    <mergeCell ref="K708:M708"/>
    <mergeCell ref="E709:G709"/>
    <mergeCell ref="K709:M709"/>
    <mergeCell ref="A716:M716"/>
    <mergeCell ref="I656:J656"/>
    <mergeCell ref="K656:L656"/>
    <mergeCell ref="B658:D658"/>
    <mergeCell ref="E658:G658"/>
    <mergeCell ref="A707:F707"/>
    <mergeCell ref="H707:I707"/>
    <mergeCell ref="K707:M707"/>
    <mergeCell ref="A654:D654"/>
    <mergeCell ref="E654:G654"/>
    <mergeCell ref="I654:J654"/>
    <mergeCell ref="K654:L654"/>
    <mergeCell ref="B655:D655"/>
    <mergeCell ref="E655:G655"/>
    <mergeCell ref="I655:J655"/>
    <mergeCell ref="K655:L655"/>
    <mergeCell ref="B671:D671"/>
    <mergeCell ref="E635:G635"/>
    <mergeCell ref="K635:M635"/>
    <mergeCell ref="A645:M645"/>
    <mergeCell ref="A647:M647"/>
    <mergeCell ref="A648:M648"/>
    <mergeCell ref="A649:M649"/>
    <mergeCell ref="B587:D587"/>
    <mergeCell ref="E587:G587"/>
    <mergeCell ref="A633:F633"/>
    <mergeCell ref="H633:I633"/>
    <mergeCell ref="K633:M633"/>
    <mergeCell ref="A634:F634"/>
    <mergeCell ref="H634:I634"/>
    <mergeCell ref="K634:M634"/>
    <mergeCell ref="B584:D584"/>
    <mergeCell ref="E584:G584"/>
    <mergeCell ref="I584:J584"/>
    <mergeCell ref="K584:L584"/>
    <mergeCell ref="I585:J585"/>
    <mergeCell ref="K585:L585"/>
    <mergeCell ref="A576:M576"/>
    <mergeCell ref="A577:M577"/>
    <mergeCell ref="A578:M578"/>
    <mergeCell ref="A583:D583"/>
    <mergeCell ref="E583:G583"/>
    <mergeCell ref="I583:J583"/>
    <mergeCell ref="K583:L583"/>
    <mergeCell ref="A568:F568"/>
    <mergeCell ref="H568:I568"/>
    <mergeCell ref="K568:M568"/>
    <mergeCell ref="E569:G569"/>
    <mergeCell ref="K569:M569"/>
    <mergeCell ref="A574:M574"/>
    <mergeCell ref="I514:J514"/>
    <mergeCell ref="K514:L514"/>
    <mergeCell ref="B516:D516"/>
    <mergeCell ref="E516:G516"/>
    <mergeCell ref="A567:F567"/>
    <mergeCell ref="H567:I567"/>
    <mergeCell ref="K567:M567"/>
    <mergeCell ref="A512:D512"/>
    <mergeCell ref="E512:G512"/>
    <mergeCell ref="I512:J512"/>
    <mergeCell ref="K512:L512"/>
    <mergeCell ref="B513:D513"/>
    <mergeCell ref="E513:G513"/>
    <mergeCell ref="I513:J513"/>
    <mergeCell ref="K513:L513"/>
    <mergeCell ref="E496:G496"/>
    <mergeCell ref="K496:M496"/>
    <mergeCell ref="A503:M503"/>
    <mergeCell ref="A505:M505"/>
    <mergeCell ref="A506:M506"/>
    <mergeCell ref="A507:M507"/>
    <mergeCell ref="B446:D446"/>
    <mergeCell ref="E446:G446"/>
    <mergeCell ref="A494:F494"/>
    <mergeCell ref="H494:I494"/>
    <mergeCell ref="K494:M494"/>
    <mergeCell ref="A495:F495"/>
    <mergeCell ref="H495:I495"/>
    <mergeCell ref="K495:M495"/>
    <mergeCell ref="B443:D443"/>
    <mergeCell ref="E443:G443"/>
    <mergeCell ref="I443:J443"/>
    <mergeCell ref="K443:L443"/>
    <mergeCell ref="I444:J444"/>
    <mergeCell ref="K444:L444"/>
    <mergeCell ref="A435:M435"/>
    <mergeCell ref="A436:M436"/>
    <mergeCell ref="A437:M437"/>
    <mergeCell ref="A442:D442"/>
    <mergeCell ref="E442:G442"/>
    <mergeCell ref="I442:J442"/>
    <mergeCell ref="K442:L442"/>
    <mergeCell ref="A422:F422"/>
    <mergeCell ref="H422:I422"/>
    <mergeCell ref="K422:M422"/>
    <mergeCell ref="E423:G423"/>
    <mergeCell ref="K423:M423"/>
    <mergeCell ref="A433:M433"/>
    <mergeCell ref="I373:J373"/>
    <mergeCell ref="K373:L373"/>
    <mergeCell ref="B375:D375"/>
    <mergeCell ref="E375:G375"/>
    <mergeCell ref="A421:F421"/>
    <mergeCell ref="H421:I421"/>
    <mergeCell ref="K421:M421"/>
    <mergeCell ref="A371:D371"/>
    <mergeCell ref="E371:G371"/>
    <mergeCell ref="I371:J371"/>
    <mergeCell ref="K371:L371"/>
    <mergeCell ref="B372:D372"/>
    <mergeCell ref="E372:G372"/>
    <mergeCell ref="I372:J372"/>
    <mergeCell ref="K372:L372"/>
    <mergeCell ref="E353:G353"/>
    <mergeCell ref="K353:M353"/>
    <mergeCell ref="A362:M362"/>
    <mergeCell ref="A364:M364"/>
    <mergeCell ref="A365:M365"/>
    <mergeCell ref="A366:M366"/>
    <mergeCell ref="B304:D304"/>
    <mergeCell ref="E304:G304"/>
    <mergeCell ref="A351:F351"/>
    <mergeCell ref="H351:I351"/>
    <mergeCell ref="K351:M351"/>
    <mergeCell ref="A352:F352"/>
    <mergeCell ref="H352:I352"/>
    <mergeCell ref="K352:M352"/>
    <mergeCell ref="B301:D301"/>
    <mergeCell ref="E301:G301"/>
    <mergeCell ref="I301:J301"/>
    <mergeCell ref="K301:L301"/>
    <mergeCell ref="I302:J302"/>
    <mergeCell ref="K302:L302"/>
    <mergeCell ref="A293:M293"/>
    <mergeCell ref="A294:M294"/>
    <mergeCell ref="A295:M295"/>
    <mergeCell ref="A300:D300"/>
    <mergeCell ref="E300:G300"/>
    <mergeCell ref="I300:J300"/>
    <mergeCell ref="K300:L300"/>
    <mergeCell ref="A278:F278"/>
    <mergeCell ref="H278:I278"/>
    <mergeCell ref="K278:M278"/>
    <mergeCell ref="E279:G279"/>
    <mergeCell ref="K279:M279"/>
    <mergeCell ref="A291:M291"/>
    <mergeCell ref="I231:J231"/>
    <mergeCell ref="K231:L231"/>
    <mergeCell ref="B233:D233"/>
    <mergeCell ref="E233:G233"/>
    <mergeCell ref="A277:F277"/>
    <mergeCell ref="H277:I277"/>
    <mergeCell ref="K277:M277"/>
    <mergeCell ref="B245:D245"/>
    <mergeCell ref="A229:D229"/>
    <mergeCell ref="E229:G229"/>
    <mergeCell ref="I229:J229"/>
    <mergeCell ref="K229:L229"/>
    <mergeCell ref="B230:D230"/>
    <mergeCell ref="E230:G230"/>
    <mergeCell ref="I230:J230"/>
    <mergeCell ref="K230:L230"/>
    <mergeCell ref="E194:G194"/>
    <mergeCell ref="K194:M194"/>
    <mergeCell ref="A220:M220"/>
    <mergeCell ref="A222:M222"/>
    <mergeCell ref="A223:M223"/>
    <mergeCell ref="A224:M224"/>
    <mergeCell ref="B156:D156"/>
    <mergeCell ref="E156:G156"/>
    <mergeCell ref="A192:F192"/>
    <mergeCell ref="H192:I192"/>
    <mergeCell ref="K192:M192"/>
    <mergeCell ref="A193:F193"/>
    <mergeCell ref="H193:I193"/>
    <mergeCell ref="K193:M193"/>
    <mergeCell ref="B153:D153"/>
    <mergeCell ref="E153:G153"/>
    <mergeCell ref="I153:J153"/>
    <mergeCell ref="K153:L153"/>
    <mergeCell ref="I154:J154"/>
    <mergeCell ref="K154:L154"/>
    <mergeCell ref="A146:M146"/>
    <mergeCell ref="A147:M147"/>
    <mergeCell ref="A152:D152"/>
    <mergeCell ref="E152:G152"/>
    <mergeCell ref="I152:J152"/>
    <mergeCell ref="K152:L152"/>
    <mergeCell ref="I82:J82"/>
    <mergeCell ref="K82:L82"/>
    <mergeCell ref="B84:D84"/>
    <mergeCell ref="E84:G84"/>
    <mergeCell ref="A144:M144"/>
    <mergeCell ref="A145:M145"/>
    <mergeCell ref="A80:D80"/>
    <mergeCell ref="E80:G80"/>
    <mergeCell ref="I80:J80"/>
    <mergeCell ref="K80:L80"/>
    <mergeCell ref="B81:D81"/>
    <mergeCell ref="E81:G81"/>
    <mergeCell ref="I81:J81"/>
    <mergeCell ref="K81:L81"/>
    <mergeCell ref="E63:G63"/>
    <mergeCell ref="E70:I70"/>
    <mergeCell ref="A71:M71"/>
    <mergeCell ref="A73:M73"/>
    <mergeCell ref="A74:M74"/>
    <mergeCell ref="A75:M75"/>
    <mergeCell ref="A61:F61"/>
    <mergeCell ref="H61:I61"/>
    <mergeCell ref="K61:M61"/>
    <mergeCell ref="A62:F62"/>
    <mergeCell ref="H62:I62"/>
    <mergeCell ref="K62:M62"/>
    <mergeCell ref="B10:D10"/>
    <mergeCell ref="E10:G10"/>
    <mergeCell ref="I10:J10"/>
    <mergeCell ref="K10:L10"/>
    <mergeCell ref="I11:J11"/>
    <mergeCell ref="K11:L11"/>
    <mergeCell ref="A2:M2"/>
    <mergeCell ref="A3:M3"/>
    <mergeCell ref="A4:M4"/>
    <mergeCell ref="A9:D9"/>
    <mergeCell ref="E9:G9"/>
    <mergeCell ref="I9:J9"/>
    <mergeCell ref="K9:L9"/>
    <mergeCell ref="B13:D13"/>
    <mergeCell ref="E13:G13"/>
  </mergeCells>
  <printOptions horizontalCentered="1"/>
  <pageMargins left="0" right="0" top="0.5" bottom="0.5" header="0" footer="0"/>
  <pageSetup paperSize="256" scale="70" orientation="portrait" r:id="rId1"/>
  <headerFooter alignWithMargins="0">
    <oddFooter xml:space="preserve">&amp;C&amp;"Times New Roman,Bold"&amp;14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4"/>
  <sheetViews>
    <sheetView topLeftCell="D1" workbookViewId="0">
      <selection activeCell="J425" sqref="J425"/>
    </sheetView>
  </sheetViews>
  <sheetFormatPr defaultColWidth="8.7109375" defaultRowHeight="14.45" customHeight="1" x14ac:dyDescent="0.3"/>
  <cols>
    <col min="1" max="1" width="8.7109375" style="416"/>
    <col min="2" max="3" width="8.7109375" style="358"/>
    <col min="4" max="4" width="4.85546875" style="358" customWidth="1"/>
    <col min="5" max="5" width="11.85546875" style="358" customWidth="1"/>
    <col min="6" max="6" width="33.7109375" style="358" customWidth="1"/>
    <col min="7" max="7" width="29.85546875" style="358" customWidth="1"/>
    <col min="8" max="8" width="19.28515625" style="358" customWidth="1"/>
    <col min="9" max="9" width="20.85546875" style="358" customWidth="1"/>
    <col min="10" max="10" width="15.28515625" style="358" customWidth="1"/>
    <col min="11" max="11" width="14" style="358" customWidth="1"/>
    <col min="12" max="12" width="13.7109375" style="358" customWidth="1"/>
    <col min="13" max="13" width="15.140625" style="358" customWidth="1"/>
    <col min="14" max="14" width="8.7109375" style="358"/>
    <col min="15" max="15" width="19.85546875" style="358" customWidth="1"/>
    <col min="16" max="16" width="14.5703125" style="358" bestFit="1" customWidth="1"/>
    <col min="17" max="16384" width="8.7109375" style="358"/>
  </cols>
  <sheetData>
    <row r="1" spans="1:17" ht="15" customHeight="1" x14ac:dyDescent="0.3">
      <c r="A1" s="1246"/>
      <c r="C1" s="1152" t="s">
        <v>1026</v>
      </c>
      <c r="D1" s="359"/>
      <c r="F1" s="1155" t="s">
        <v>1601</v>
      </c>
      <c r="G1" s="1155"/>
      <c r="H1" s="1155"/>
      <c r="I1" s="1155"/>
      <c r="J1" s="1155"/>
      <c r="K1" s="1155"/>
      <c r="L1" s="1155"/>
      <c r="M1" s="360"/>
      <c r="N1" s="361"/>
    </row>
    <row r="2" spans="1:17" ht="15" customHeight="1" x14ac:dyDescent="0.3">
      <c r="A2" s="1246"/>
      <c r="C2" s="1169"/>
      <c r="E2" s="1156" t="s">
        <v>182</v>
      </c>
      <c r="F2" s="1156"/>
      <c r="G2" s="1156"/>
      <c r="H2" s="1156"/>
      <c r="I2" s="1156"/>
      <c r="J2" s="1156"/>
      <c r="K2" s="1156"/>
      <c r="L2" s="1156"/>
      <c r="M2" s="1156"/>
    </row>
    <row r="3" spans="1:17" ht="14.45" customHeight="1" x14ac:dyDescent="0.3">
      <c r="A3" s="1246"/>
      <c r="C3" s="1169"/>
      <c r="E3" s="358" t="s">
        <v>1027</v>
      </c>
      <c r="F3" s="362" t="s">
        <v>1028</v>
      </c>
    </row>
    <row r="4" spans="1:17" ht="14.45" customHeight="1" x14ac:dyDescent="0.3">
      <c r="A4" s="1246"/>
      <c r="C4" s="1169"/>
      <c r="E4" s="358" t="s">
        <v>1029</v>
      </c>
      <c r="F4" s="363" t="s">
        <v>1030</v>
      </c>
    </row>
    <row r="5" spans="1:17" ht="18" customHeight="1" x14ac:dyDescent="0.3">
      <c r="A5" s="1246"/>
      <c r="C5" s="1169"/>
      <c r="E5" s="358" t="s">
        <v>1031</v>
      </c>
      <c r="F5" s="1147" t="s">
        <v>1032</v>
      </c>
      <c r="G5" s="1147"/>
      <c r="H5" s="1147"/>
      <c r="I5" s="1147"/>
      <c r="J5" s="1147"/>
      <c r="K5" s="1147"/>
      <c r="L5" s="1147"/>
      <c r="M5" s="1147"/>
    </row>
    <row r="6" spans="1:17" ht="21" customHeight="1" x14ac:dyDescent="0.3">
      <c r="A6" s="1246"/>
      <c r="C6" s="1169"/>
      <c r="E6" s="358" t="s">
        <v>1033</v>
      </c>
      <c r="F6" s="1177" t="s">
        <v>1034</v>
      </c>
      <c r="G6" s="1177"/>
      <c r="H6" s="1177"/>
      <c r="I6" s="1177"/>
      <c r="J6" s="1177"/>
      <c r="K6" s="1177"/>
      <c r="L6" s="1177"/>
      <c r="M6" s="1177"/>
      <c r="P6" s="364"/>
      <c r="Q6" s="365"/>
    </row>
    <row r="7" spans="1:17" ht="14.45" customHeight="1" x14ac:dyDescent="0.3">
      <c r="A7" s="1246"/>
      <c r="C7" s="1169"/>
      <c r="F7" s="1177"/>
      <c r="G7" s="1177"/>
      <c r="H7" s="1177"/>
      <c r="I7" s="1177"/>
      <c r="J7" s="1177"/>
      <c r="K7" s="1177"/>
      <c r="L7" s="1177"/>
      <c r="M7" s="1177"/>
      <c r="Q7" s="365"/>
    </row>
    <row r="8" spans="1:17" ht="14.45" customHeight="1" x14ac:dyDescent="0.3">
      <c r="A8" s="1246"/>
      <c r="C8" s="1169"/>
      <c r="E8" s="366" t="s">
        <v>1035</v>
      </c>
      <c r="F8" s="366"/>
      <c r="G8" s="366"/>
      <c r="H8" s="366"/>
      <c r="I8" s="366"/>
      <c r="J8" s="366"/>
      <c r="K8" s="366"/>
      <c r="L8" s="366"/>
      <c r="M8" s="366"/>
      <c r="Q8" s="365"/>
    </row>
    <row r="9" spans="1:17" ht="14.45" customHeight="1" x14ac:dyDescent="0.3">
      <c r="A9" s="1246"/>
      <c r="C9" s="1169"/>
      <c r="E9" s="1158" t="s">
        <v>1036</v>
      </c>
      <c r="F9" s="367" t="s">
        <v>648</v>
      </c>
      <c r="G9" s="1160" t="s">
        <v>650</v>
      </c>
      <c r="H9" s="367" t="s">
        <v>651</v>
      </c>
      <c r="I9" s="1158" t="s">
        <v>1037</v>
      </c>
      <c r="J9" s="1162" t="s">
        <v>1602</v>
      </c>
      <c r="K9" s="1162"/>
      <c r="L9" s="1162"/>
      <c r="M9" s="1163"/>
      <c r="Q9" s="365"/>
    </row>
    <row r="10" spans="1:17" ht="14.45" customHeight="1" x14ac:dyDescent="0.3">
      <c r="A10" s="1246"/>
      <c r="C10" s="1169"/>
      <c r="E10" s="1159"/>
      <c r="F10" s="368" t="s">
        <v>649</v>
      </c>
      <c r="G10" s="1179"/>
      <c r="H10" s="368" t="s">
        <v>652</v>
      </c>
      <c r="I10" s="1178"/>
      <c r="J10" s="369" t="s">
        <v>283</v>
      </c>
      <c r="K10" s="370" t="s">
        <v>284</v>
      </c>
      <c r="L10" s="371" t="s">
        <v>285</v>
      </c>
      <c r="M10" s="372" t="s">
        <v>15</v>
      </c>
      <c r="Q10" s="365"/>
    </row>
    <row r="11" spans="1:17" ht="14.45" customHeight="1" x14ac:dyDescent="0.3">
      <c r="A11" s="1246"/>
      <c r="C11" s="1169"/>
      <c r="E11" s="373" t="s">
        <v>1038</v>
      </c>
      <c r="F11" s="1172" t="s">
        <v>1039</v>
      </c>
      <c r="G11" s="1172" t="s">
        <v>1040</v>
      </c>
      <c r="H11" s="1172" t="s">
        <v>1041</v>
      </c>
      <c r="I11" s="1172" t="s">
        <v>1042</v>
      </c>
      <c r="J11" s="1221">
        <f>'[1]LBP NO. 2'!M34</f>
        <v>7065654</v>
      </c>
      <c r="K11" s="1164">
        <f>'[1]LBP NO. 2'!M44</f>
        <v>3033366</v>
      </c>
      <c r="L11" s="1164">
        <f>'[1]LBP NO. 2'!M54</f>
        <v>5000000</v>
      </c>
      <c r="M11" s="1164">
        <f>SUM(J11:L30)</f>
        <v>15099020</v>
      </c>
      <c r="Q11" s="365"/>
    </row>
    <row r="12" spans="1:17" ht="14.45" customHeight="1" x14ac:dyDescent="0.3">
      <c r="A12" s="1246"/>
      <c r="C12" s="1169"/>
      <c r="E12" s="374"/>
      <c r="F12" s="1168"/>
      <c r="G12" s="1168"/>
      <c r="H12" s="1168"/>
      <c r="I12" s="1168"/>
      <c r="J12" s="1222"/>
      <c r="K12" s="1165"/>
      <c r="L12" s="1165"/>
      <c r="M12" s="1165"/>
      <c r="O12" s="359"/>
      <c r="Q12" s="365"/>
    </row>
    <row r="13" spans="1:17" ht="14.45" customHeight="1" x14ac:dyDescent="0.3">
      <c r="A13" s="1246"/>
      <c r="C13" s="1169"/>
      <c r="E13" s="374"/>
      <c r="F13" s="1168"/>
      <c r="G13" s="1168"/>
      <c r="H13" s="1168"/>
      <c r="I13" s="1168"/>
      <c r="J13" s="1222"/>
      <c r="K13" s="1165"/>
      <c r="L13" s="1165"/>
      <c r="M13" s="1165"/>
      <c r="O13" s="359"/>
      <c r="Q13" s="365"/>
    </row>
    <row r="14" spans="1:17" ht="9.75" customHeight="1" x14ac:dyDescent="0.3">
      <c r="A14" s="1246"/>
      <c r="C14" s="1169"/>
      <c r="E14" s="375"/>
      <c r="F14" s="1217"/>
      <c r="G14" s="1168"/>
      <c r="H14" s="1217"/>
      <c r="I14" s="1217"/>
      <c r="J14" s="1222"/>
      <c r="K14" s="1165"/>
      <c r="L14" s="1165"/>
      <c r="M14" s="1165"/>
      <c r="O14" s="359"/>
      <c r="Q14" s="365"/>
    </row>
    <row r="15" spans="1:17" ht="14.45" customHeight="1" x14ac:dyDescent="0.3">
      <c r="A15" s="1246"/>
      <c r="C15" s="1169"/>
      <c r="E15" s="373" t="s">
        <v>1038</v>
      </c>
      <c r="F15" s="1255" t="s">
        <v>1043</v>
      </c>
      <c r="G15" s="1172" t="s">
        <v>1044</v>
      </c>
      <c r="H15" s="1172" t="s">
        <v>1045</v>
      </c>
      <c r="I15" s="1172" t="s">
        <v>1046</v>
      </c>
      <c r="J15" s="1222"/>
      <c r="K15" s="1165"/>
      <c r="L15" s="1165"/>
      <c r="M15" s="1165"/>
      <c r="O15" s="359"/>
      <c r="Q15" s="365"/>
    </row>
    <row r="16" spans="1:17" ht="18.75" customHeight="1" x14ac:dyDescent="0.3">
      <c r="A16" s="1246"/>
      <c r="C16" s="1169"/>
      <c r="E16" s="374"/>
      <c r="F16" s="1256"/>
      <c r="G16" s="1168"/>
      <c r="H16" s="1168"/>
      <c r="I16" s="1168"/>
      <c r="J16" s="1222"/>
      <c r="K16" s="1165"/>
      <c r="L16" s="1165"/>
      <c r="M16" s="1165"/>
      <c r="Q16" s="365"/>
    </row>
    <row r="17" spans="1:13" ht="14.45" customHeight="1" x14ac:dyDescent="0.3">
      <c r="A17" s="1246"/>
      <c r="C17" s="1169"/>
      <c r="E17" s="374"/>
      <c r="F17" s="1256"/>
      <c r="G17" s="1168"/>
      <c r="H17" s="1168"/>
      <c r="I17" s="1168"/>
      <c r="J17" s="1222"/>
      <c r="K17" s="1165"/>
      <c r="L17" s="1165"/>
      <c r="M17" s="1165"/>
    </row>
    <row r="18" spans="1:13" ht="9" customHeight="1" x14ac:dyDescent="0.3">
      <c r="A18" s="1246"/>
      <c r="C18" s="1169"/>
      <c r="E18" s="375"/>
      <c r="F18" s="1257"/>
      <c r="G18" s="1217"/>
      <c r="H18" s="1217"/>
      <c r="I18" s="1217"/>
      <c r="J18" s="1222"/>
      <c r="K18" s="1165"/>
      <c r="L18" s="1165"/>
      <c r="M18" s="1165"/>
    </row>
    <row r="19" spans="1:13" ht="14.45" customHeight="1" x14ac:dyDescent="0.3">
      <c r="A19" s="1246"/>
      <c r="C19" s="1169"/>
      <c r="E19" s="373" t="s">
        <v>1038</v>
      </c>
      <c r="F19" s="1170" t="s">
        <v>1047</v>
      </c>
      <c r="G19" s="1172" t="s">
        <v>1048</v>
      </c>
      <c r="H19" s="1170" t="s">
        <v>1049</v>
      </c>
      <c r="I19" s="1172" t="s">
        <v>1050</v>
      </c>
      <c r="J19" s="1222"/>
      <c r="K19" s="1165"/>
      <c r="L19" s="1165"/>
      <c r="M19" s="1165"/>
    </row>
    <row r="20" spans="1:13" ht="14.45" customHeight="1" x14ac:dyDescent="0.3">
      <c r="A20" s="1246"/>
      <c r="C20" s="1169"/>
      <c r="E20" s="376"/>
      <c r="F20" s="1171"/>
      <c r="G20" s="1168"/>
      <c r="H20" s="1171"/>
      <c r="I20" s="1168"/>
      <c r="J20" s="1222"/>
      <c r="K20" s="1165"/>
      <c r="L20" s="1165"/>
      <c r="M20" s="1165"/>
    </row>
    <row r="21" spans="1:13" ht="54.75" customHeight="1" x14ac:dyDescent="0.3">
      <c r="A21" s="1246"/>
      <c r="C21" s="1169"/>
      <c r="E21" s="376"/>
      <c r="F21" s="1213"/>
      <c r="G21" s="1217"/>
      <c r="H21" s="1213"/>
      <c r="I21" s="1217"/>
      <c r="J21" s="1222"/>
      <c r="K21" s="1165"/>
      <c r="L21" s="1165"/>
      <c r="M21" s="1165"/>
    </row>
    <row r="22" spans="1:13" ht="14.45" customHeight="1" x14ac:dyDescent="0.3">
      <c r="A22" s="1246"/>
      <c r="C22" s="1169"/>
      <c r="E22" s="373" t="s">
        <v>1038</v>
      </c>
      <c r="F22" s="1170" t="s">
        <v>1051</v>
      </c>
      <c r="G22" s="1172" t="s">
        <v>1052</v>
      </c>
      <c r="H22" s="1172" t="s">
        <v>1053</v>
      </c>
      <c r="I22" s="1172" t="s">
        <v>1054</v>
      </c>
      <c r="J22" s="1222"/>
      <c r="K22" s="1165"/>
      <c r="L22" s="1165"/>
      <c r="M22" s="1165"/>
    </row>
    <row r="23" spans="1:13" ht="14.45" customHeight="1" x14ac:dyDescent="0.3">
      <c r="A23" s="1246"/>
      <c r="C23" s="1169"/>
      <c r="E23" s="374"/>
      <c r="F23" s="1171"/>
      <c r="G23" s="1168"/>
      <c r="H23" s="1168"/>
      <c r="I23" s="1168"/>
      <c r="J23" s="1222"/>
      <c r="K23" s="1165"/>
      <c r="L23" s="1165"/>
      <c r="M23" s="1165"/>
    </row>
    <row r="24" spans="1:13" ht="32.25" customHeight="1" x14ac:dyDescent="0.3">
      <c r="A24" s="1246"/>
      <c r="C24" s="1169"/>
      <c r="E24" s="375"/>
      <c r="F24" s="1213"/>
      <c r="G24" s="1217"/>
      <c r="H24" s="1217"/>
      <c r="I24" s="1217"/>
      <c r="J24" s="1222"/>
      <c r="K24" s="1165"/>
      <c r="L24" s="1165"/>
      <c r="M24" s="1165"/>
    </row>
    <row r="25" spans="1:13" ht="55.5" customHeight="1" x14ac:dyDescent="0.3">
      <c r="A25" s="1246"/>
      <c r="C25" s="1169"/>
      <c r="E25" s="377" t="s">
        <v>1038</v>
      </c>
      <c r="F25" s="378" t="s">
        <v>1055</v>
      </c>
      <c r="G25" s="379" t="s">
        <v>1056</v>
      </c>
      <c r="H25" s="380" t="s">
        <v>1057</v>
      </c>
      <c r="I25" s="379" t="s">
        <v>1058</v>
      </c>
      <c r="J25" s="1222"/>
      <c r="K25" s="1165"/>
      <c r="L25" s="1165"/>
      <c r="M25" s="1165"/>
    </row>
    <row r="26" spans="1:13" ht="53.25" customHeight="1" x14ac:dyDescent="0.3">
      <c r="A26" s="1246"/>
      <c r="C26" s="1169"/>
      <c r="E26" s="377" t="s">
        <v>1038</v>
      </c>
      <c r="F26" s="381" t="s">
        <v>1059</v>
      </c>
      <c r="G26" s="382" t="s">
        <v>1060</v>
      </c>
      <c r="H26" s="383" t="s">
        <v>1045</v>
      </c>
      <c r="I26" s="382" t="s">
        <v>1061</v>
      </c>
      <c r="J26" s="1222"/>
      <c r="K26" s="1165"/>
      <c r="L26" s="1165"/>
      <c r="M26" s="1165"/>
    </row>
    <row r="27" spans="1:13" ht="14.45" customHeight="1" x14ac:dyDescent="0.3">
      <c r="A27" s="1246"/>
      <c r="C27" s="1169"/>
      <c r="E27" s="377" t="s">
        <v>1038</v>
      </c>
      <c r="F27" s="1218" t="s">
        <v>1062</v>
      </c>
      <c r="G27" s="1218" t="s">
        <v>1063</v>
      </c>
      <c r="H27" s="1218" t="s">
        <v>1064</v>
      </c>
      <c r="I27" s="1218" t="s">
        <v>1065</v>
      </c>
      <c r="J27" s="1222"/>
      <c r="K27" s="1165"/>
      <c r="L27" s="1165"/>
      <c r="M27" s="1165"/>
    </row>
    <row r="28" spans="1:13" ht="14.45" customHeight="1" x14ac:dyDescent="0.3">
      <c r="A28" s="1246"/>
      <c r="C28" s="1169"/>
      <c r="E28" s="374"/>
      <c r="F28" s="1219"/>
      <c r="G28" s="1219"/>
      <c r="H28" s="1219"/>
      <c r="I28" s="1219"/>
      <c r="J28" s="1222"/>
      <c r="K28" s="1165"/>
      <c r="L28" s="1165"/>
      <c r="M28" s="1165"/>
    </row>
    <row r="29" spans="1:13" ht="14.45" customHeight="1" x14ac:dyDescent="0.3">
      <c r="A29" s="1246"/>
      <c r="C29" s="1169"/>
      <c r="E29" s="374"/>
      <c r="F29" s="1219"/>
      <c r="G29" s="1219"/>
      <c r="H29" s="1219"/>
      <c r="I29" s="1219"/>
      <c r="J29" s="1222"/>
      <c r="K29" s="1165"/>
      <c r="L29" s="1165"/>
      <c r="M29" s="1165"/>
    </row>
    <row r="30" spans="1:13" ht="5.25" customHeight="1" x14ac:dyDescent="0.3">
      <c r="A30" s="1246"/>
      <c r="C30" s="1169"/>
      <c r="E30" s="384"/>
      <c r="F30" s="1227"/>
      <c r="G30" s="1227"/>
      <c r="H30" s="1227"/>
      <c r="I30" s="1227"/>
      <c r="J30" s="1223"/>
      <c r="K30" s="1166"/>
      <c r="L30" s="1166"/>
      <c r="M30" s="1166"/>
    </row>
    <row r="31" spans="1:13" ht="12.75" customHeight="1" x14ac:dyDescent="0.3">
      <c r="A31" s="1246"/>
      <c r="C31" s="1169"/>
      <c r="E31" s="385"/>
      <c r="F31" s="386"/>
      <c r="G31" s="386"/>
      <c r="H31" s="386"/>
      <c r="I31" s="386"/>
      <c r="J31" s="387"/>
      <c r="K31" s="387"/>
      <c r="L31" s="387"/>
      <c r="M31" s="387"/>
    </row>
    <row r="32" spans="1:13" ht="15" customHeight="1" x14ac:dyDescent="0.3">
      <c r="A32" s="1246"/>
      <c r="C32" s="1169"/>
      <c r="E32" s="385" t="s">
        <v>1066</v>
      </c>
      <c r="F32" s="385"/>
      <c r="G32" s="388" t="s">
        <v>1067</v>
      </c>
      <c r="H32" s="388"/>
      <c r="J32" s="389"/>
      <c r="K32" s="389"/>
      <c r="L32" s="390"/>
      <c r="M32" s="390"/>
    </row>
    <row r="33" spans="1:13" ht="15" customHeight="1" x14ac:dyDescent="0.3">
      <c r="A33" s="1246"/>
      <c r="C33" s="1169"/>
      <c r="E33" s="385"/>
      <c r="F33" s="385"/>
      <c r="G33" s="385"/>
      <c r="H33" s="385"/>
      <c r="J33" s="385"/>
      <c r="K33" s="385"/>
      <c r="L33" s="385"/>
      <c r="M33" s="385"/>
    </row>
    <row r="34" spans="1:13" ht="15" customHeight="1" x14ac:dyDescent="0.3">
      <c r="A34" s="1246"/>
      <c r="C34" s="1169"/>
      <c r="E34" s="1175" t="s">
        <v>1495</v>
      </c>
      <c r="F34" s="1175"/>
      <c r="G34" s="1148" t="s">
        <v>260</v>
      </c>
      <c r="H34" s="1148"/>
      <c r="I34" s="1153" t="s">
        <v>17</v>
      </c>
      <c r="J34" s="1153"/>
      <c r="L34" s="1148" t="s">
        <v>91</v>
      </c>
      <c r="M34" s="1148"/>
    </row>
    <row r="35" spans="1:13" ht="15" customHeight="1" x14ac:dyDescent="0.3">
      <c r="A35" s="1246"/>
      <c r="C35" s="1169"/>
      <c r="E35" s="1176" t="s">
        <v>14</v>
      </c>
      <c r="F35" s="1176"/>
      <c r="G35" s="1149" t="s">
        <v>13</v>
      </c>
      <c r="H35" s="1149"/>
      <c r="I35" s="1154" t="s">
        <v>18</v>
      </c>
      <c r="J35" s="1154"/>
      <c r="L35" s="1149" t="s">
        <v>1021</v>
      </c>
      <c r="M35" s="1149"/>
    </row>
    <row r="36" spans="1:13" ht="15" customHeight="1" x14ac:dyDescent="0.3">
      <c r="A36" s="1246"/>
      <c r="C36" s="1169"/>
      <c r="E36" s="391" t="s">
        <v>264</v>
      </c>
      <c r="F36" s="391"/>
      <c r="G36" s="391"/>
      <c r="H36" s="385"/>
      <c r="I36" s="385"/>
      <c r="J36" s="385"/>
      <c r="K36" s="392"/>
      <c r="L36" s="385"/>
      <c r="M36" s="385"/>
    </row>
    <row r="37" spans="1:13" ht="15" customHeight="1" x14ac:dyDescent="0.3">
      <c r="A37" s="1246"/>
      <c r="C37" s="1169"/>
      <c r="E37" s="393"/>
      <c r="F37" s="393"/>
      <c r="G37" s="393"/>
      <c r="H37" s="385"/>
      <c r="I37" s="385"/>
      <c r="J37" s="385"/>
      <c r="K37" s="394"/>
      <c r="L37" s="385"/>
      <c r="M37" s="385"/>
    </row>
    <row r="38" spans="1:13" ht="15" customHeight="1" x14ac:dyDescent="0.3">
      <c r="A38" s="1246"/>
      <c r="C38" s="1169"/>
      <c r="E38" s="1148" t="s">
        <v>1495</v>
      </c>
      <c r="F38" s="1148"/>
      <c r="G38" s="395"/>
      <c r="H38" s="395"/>
      <c r="I38" s="395"/>
      <c r="J38" s="396"/>
      <c r="K38" s="396"/>
      <c r="L38" s="397"/>
      <c r="M38" s="393"/>
    </row>
    <row r="39" spans="1:13" ht="15.95" customHeight="1" x14ac:dyDescent="0.3">
      <c r="A39" s="1246"/>
      <c r="C39" s="1169"/>
      <c r="E39" s="1149" t="s">
        <v>14</v>
      </c>
      <c r="F39" s="1149"/>
      <c r="G39" s="398"/>
      <c r="H39" s="398"/>
      <c r="I39" s="398"/>
      <c r="J39" s="399"/>
      <c r="K39" s="396"/>
      <c r="L39" s="397"/>
      <c r="M39" s="393"/>
    </row>
    <row r="40" spans="1:13" ht="27" customHeight="1" x14ac:dyDescent="0.3">
      <c r="A40" s="1246"/>
      <c r="B40" s="400"/>
      <c r="C40" s="1247" t="s">
        <v>1068</v>
      </c>
      <c r="D40" s="385"/>
      <c r="F40" s="1155" t="s">
        <v>1601</v>
      </c>
      <c r="G40" s="1155"/>
      <c r="H40" s="1155"/>
      <c r="I40" s="1155"/>
      <c r="J40" s="1155"/>
      <c r="K40" s="1155"/>
      <c r="L40" s="1155"/>
      <c r="M40" s="360"/>
    </row>
    <row r="41" spans="1:13" ht="14.45" customHeight="1" x14ac:dyDescent="0.3">
      <c r="A41" s="1246"/>
      <c r="C41" s="1248"/>
      <c r="E41" s="1156" t="s">
        <v>182</v>
      </c>
      <c r="F41" s="1156"/>
      <c r="G41" s="1156"/>
      <c r="H41" s="1156"/>
      <c r="I41" s="1156"/>
      <c r="J41" s="1156"/>
      <c r="K41" s="1156"/>
      <c r="L41" s="1156"/>
      <c r="M41" s="1156"/>
    </row>
    <row r="42" spans="1:13" ht="14.45" customHeight="1" x14ac:dyDescent="0.3">
      <c r="A42" s="1246"/>
      <c r="C42" s="1248"/>
      <c r="E42" s="358" t="s">
        <v>1027</v>
      </c>
      <c r="F42" s="362" t="s">
        <v>1069</v>
      </c>
    </row>
    <row r="43" spans="1:13" ht="14.45" customHeight="1" x14ac:dyDescent="0.3">
      <c r="A43" s="1246"/>
      <c r="C43" s="1248"/>
      <c r="E43" s="358" t="s">
        <v>1029</v>
      </c>
      <c r="F43" s="363" t="s">
        <v>1070</v>
      </c>
    </row>
    <row r="44" spans="1:13" ht="14.45" customHeight="1" x14ac:dyDescent="0.3">
      <c r="A44" s="1246"/>
      <c r="C44" s="1248"/>
      <c r="E44" s="358" t="s">
        <v>1031</v>
      </c>
      <c r="F44" s="1147" t="s">
        <v>1071</v>
      </c>
      <c r="G44" s="1147"/>
      <c r="H44" s="1147"/>
      <c r="I44" s="1147"/>
      <c r="J44" s="1147"/>
      <c r="K44" s="1147"/>
      <c r="L44" s="1147"/>
      <c r="M44" s="1147"/>
    </row>
    <row r="45" spans="1:13" ht="14.45" customHeight="1" x14ac:dyDescent="0.3">
      <c r="A45" s="1246"/>
      <c r="C45" s="1248"/>
      <c r="E45" s="358" t="s">
        <v>1033</v>
      </c>
      <c r="F45" s="1177" t="s">
        <v>1072</v>
      </c>
      <c r="G45" s="1177"/>
      <c r="H45" s="1177"/>
      <c r="I45" s="1177"/>
      <c r="J45" s="1177"/>
      <c r="K45" s="1177"/>
      <c r="L45" s="1177"/>
      <c r="M45" s="1177"/>
    </row>
    <row r="46" spans="1:13" ht="18" customHeight="1" x14ac:dyDescent="0.3">
      <c r="A46" s="1246"/>
      <c r="C46" s="1248"/>
      <c r="F46" s="1177"/>
      <c r="G46" s="1177"/>
      <c r="H46" s="1177"/>
      <c r="I46" s="1177"/>
      <c r="J46" s="1177"/>
      <c r="K46" s="1177"/>
      <c r="L46" s="1177"/>
      <c r="M46" s="1177"/>
    </row>
    <row r="47" spans="1:13" ht="17.25" customHeight="1" x14ac:dyDescent="0.3">
      <c r="A47" s="1246"/>
      <c r="C47" s="1248"/>
      <c r="E47" s="366" t="s">
        <v>1073</v>
      </c>
      <c r="F47" s="366"/>
      <c r="G47" s="366"/>
      <c r="H47" s="366"/>
      <c r="I47" s="366"/>
      <c r="J47" s="366"/>
      <c r="K47" s="366"/>
      <c r="L47" s="366"/>
      <c r="M47" s="366"/>
    </row>
    <row r="48" spans="1:13" ht="14.45" customHeight="1" x14ac:dyDescent="0.3">
      <c r="A48" s="1246"/>
      <c r="C48" s="1248"/>
      <c r="E48" s="1158" t="s">
        <v>1036</v>
      </c>
      <c r="F48" s="367" t="s">
        <v>648</v>
      </c>
      <c r="G48" s="1160" t="s">
        <v>650</v>
      </c>
      <c r="H48" s="367" t="s">
        <v>651</v>
      </c>
      <c r="I48" s="1158" t="s">
        <v>1037</v>
      </c>
      <c r="J48" s="1162" t="s">
        <v>1602</v>
      </c>
      <c r="K48" s="1162"/>
      <c r="L48" s="1162"/>
      <c r="M48" s="1163"/>
    </row>
    <row r="49" spans="1:13" ht="14.25" customHeight="1" x14ac:dyDescent="0.3">
      <c r="A49" s="1246"/>
      <c r="C49" s="1248"/>
      <c r="E49" s="1178"/>
      <c r="F49" s="368" t="s">
        <v>649</v>
      </c>
      <c r="G49" s="1179"/>
      <c r="H49" s="368" t="s">
        <v>652</v>
      </c>
      <c r="I49" s="1178"/>
      <c r="J49" s="369" t="s">
        <v>283</v>
      </c>
      <c r="K49" s="370" t="s">
        <v>284</v>
      </c>
      <c r="L49" s="371" t="s">
        <v>285</v>
      </c>
      <c r="M49" s="372" t="s">
        <v>15</v>
      </c>
    </row>
    <row r="50" spans="1:13" ht="14.45" customHeight="1" x14ac:dyDescent="0.3">
      <c r="A50" s="1246"/>
      <c r="C50" s="1248"/>
      <c r="E50" s="373" t="s">
        <v>1074</v>
      </c>
      <c r="F50" s="1249" t="s">
        <v>1075</v>
      </c>
      <c r="G50" s="1172" t="s">
        <v>1076</v>
      </c>
      <c r="H50" s="1172" t="s">
        <v>1634</v>
      </c>
      <c r="I50" s="1172" t="s">
        <v>1077</v>
      </c>
      <c r="J50" s="1221">
        <f>'[1]LBP NO. 2'!M104</f>
        <v>18449378</v>
      </c>
      <c r="K50" s="1164">
        <f>'[1]LBP NO. 2'!M119</f>
        <v>5998000</v>
      </c>
      <c r="L50" s="1164">
        <f>'[1]LBP NO. 2'!M126</f>
        <v>600000</v>
      </c>
      <c r="M50" s="1164">
        <f>SUM(J50:L63)</f>
        <v>25047378</v>
      </c>
    </row>
    <row r="51" spans="1:13" ht="14.45" customHeight="1" x14ac:dyDescent="0.3">
      <c r="A51" s="1246"/>
      <c r="C51" s="1248"/>
      <c r="E51" s="401"/>
      <c r="F51" s="1250"/>
      <c r="G51" s="1168"/>
      <c r="H51" s="1168"/>
      <c r="I51" s="1168"/>
      <c r="J51" s="1222"/>
      <c r="K51" s="1165"/>
      <c r="L51" s="1165"/>
      <c r="M51" s="1165"/>
    </row>
    <row r="52" spans="1:13" ht="14.45" customHeight="1" x14ac:dyDescent="0.3">
      <c r="A52" s="1246"/>
      <c r="C52" s="1248"/>
      <c r="E52" s="401"/>
      <c r="F52" s="1250"/>
      <c r="G52" s="1168"/>
      <c r="H52" s="1168"/>
      <c r="I52" s="1168"/>
      <c r="J52" s="1222"/>
      <c r="K52" s="1165"/>
      <c r="L52" s="1165"/>
      <c r="M52" s="1165"/>
    </row>
    <row r="53" spans="1:13" ht="14.45" customHeight="1" x14ac:dyDescent="0.3">
      <c r="A53" s="1246"/>
      <c r="C53" s="1248"/>
      <c r="E53" s="401"/>
      <c r="F53" s="1250"/>
      <c r="G53" s="1217"/>
      <c r="H53" s="1217"/>
      <c r="I53" s="1217"/>
      <c r="J53" s="1222"/>
      <c r="K53" s="1165"/>
      <c r="L53" s="1165"/>
      <c r="M53" s="1165"/>
    </row>
    <row r="54" spans="1:13" ht="14.45" customHeight="1" x14ac:dyDescent="0.3">
      <c r="A54" s="1246"/>
      <c r="C54" s="1248"/>
      <c r="E54" s="373" t="s">
        <v>1074</v>
      </c>
      <c r="F54" s="402" t="s">
        <v>1078</v>
      </c>
      <c r="G54" s="1172" t="s">
        <v>1079</v>
      </c>
      <c r="H54" s="403" t="s">
        <v>1080</v>
      </c>
      <c r="I54" s="1172" t="s">
        <v>1081</v>
      </c>
      <c r="J54" s="1222"/>
      <c r="K54" s="1165"/>
      <c r="L54" s="1165"/>
      <c r="M54" s="1165"/>
    </row>
    <row r="55" spans="1:13" ht="14.45" customHeight="1" x14ac:dyDescent="0.3">
      <c r="A55" s="1246"/>
      <c r="C55" s="1248"/>
      <c r="E55" s="374"/>
      <c r="F55" s="404" t="s">
        <v>1082</v>
      </c>
      <c r="G55" s="1168"/>
      <c r="H55" s="405"/>
      <c r="I55" s="1168"/>
      <c r="J55" s="1222"/>
      <c r="K55" s="1165"/>
      <c r="L55" s="1165"/>
      <c r="M55" s="1165"/>
    </row>
    <row r="56" spans="1:13" ht="14.45" customHeight="1" x14ac:dyDescent="0.3">
      <c r="A56" s="1246"/>
      <c r="C56" s="1248"/>
      <c r="E56" s="374"/>
      <c r="F56" s="404" t="s">
        <v>1083</v>
      </c>
      <c r="G56" s="1168"/>
      <c r="H56" s="405"/>
      <c r="I56" s="1168"/>
      <c r="J56" s="1222"/>
      <c r="K56" s="1165"/>
      <c r="L56" s="1165"/>
      <c r="M56" s="1165"/>
    </row>
    <row r="57" spans="1:13" ht="30" customHeight="1" x14ac:dyDescent="0.3">
      <c r="A57" s="1246"/>
      <c r="C57" s="1248"/>
      <c r="E57" s="375"/>
      <c r="F57" s="406" t="s">
        <v>1084</v>
      </c>
      <c r="G57" s="383" t="s">
        <v>1085</v>
      </c>
      <c r="H57" s="407" t="s">
        <v>1086</v>
      </c>
      <c r="I57" s="383" t="s">
        <v>1087</v>
      </c>
      <c r="J57" s="1222"/>
      <c r="K57" s="1165"/>
      <c r="L57" s="1165"/>
      <c r="M57" s="1165"/>
    </row>
    <row r="58" spans="1:13" ht="14.45" customHeight="1" x14ac:dyDescent="0.3">
      <c r="A58" s="1246"/>
      <c r="C58" s="1248"/>
      <c r="E58" s="373" t="s">
        <v>1074</v>
      </c>
      <c r="F58" s="408" t="s">
        <v>1088</v>
      </c>
      <c r="G58" s="403"/>
      <c r="H58" s="409"/>
      <c r="I58" s="403"/>
      <c r="J58" s="1222"/>
      <c r="K58" s="1165"/>
      <c r="L58" s="1165"/>
      <c r="M58" s="1165"/>
    </row>
    <row r="59" spans="1:13" ht="22.5" customHeight="1" x14ac:dyDescent="0.3">
      <c r="A59" s="1246"/>
      <c r="C59" s="1248"/>
      <c r="E59" s="376"/>
      <c r="F59" s="406" t="s">
        <v>1513</v>
      </c>
      <c r="G59" s="382" t="s">
        <v>1089</v>
      </c>
      <c r="H59" s="410" t="s">
        <v>1086</v>
      </c>
      <c r="I59" s="411" t="s">
        <v>1090</v>
      </c>
      <c r="J59" s="1222"/>
      <c r="K59" s="1165"/>
      <c r="L59" s="1165"/>
      <c r="M59" s="1165"/>
    </row>
    <row r="60" spans="1:13" ht="14.45" customHeight="1" x14ac:dyDescent="0.3">
      <c r="A60" s="1246"/>
      <c r="C60" s="1248"/>
      <c r="E60" s="373" t="s">
        <v>1074</v>
      </c>
      <c r="F60" s="1218" t="s">
        <v>1091</v>
      </c>
      <c r="G60" s="1218" t="s">
        <v>1092</v>
      </c>
      <c r="H60" s="1218" t="s">
        <v>1093</v>
      </c>
      <c r="I60" s="1218" t="s">
        <v>1094</v>
      </c>
      <c r="J60" s="1222"/>
      <c r="K60" s="1165"/>
      <c r="L60" s="1165"/>
      <c r="M60" s="1165"/>
    </row>
    <row r="61" spans="1:13" ht="14.45" customHeight="1" x14ac:dyDescent="0.3">
      <c r="A61" s="1246"/>
      <c r="C61" s="1248"/>
      <c r="E61" s="412"/>
      <c r="F61" s="1219"/>
      <c r="G61" s="1219"/>
      <c r="H61" s="1219"/>
      <c r="I61" s="1219"/>
      <c r="J61" s="1222"/>
      <c r="K61" s="1165"/>
      <c r="L61" s="1165"/>
      <c r="M61" s="1165"/>
    </row>
    <row r="62" spans="1:13" ht="14.45" customHeight="1" x14ac:dyDescent="0.3">
      <c r="A62" s="1246"/>
      <c r="C62" s="1248"/>
      <c r="E62" s="376"/>
      <c r="F62" s="1219"/>
      <c r="G62" s="1219"/>
      <c r="H62" s="1219"/>
      <c r="I62" s="1219"/>
      <c r="J62" s="1222"/>
      <c r="K62" s="1165"/>
      <c r="L62" s="1165"/>
      <c r="M62" s="1165"/>
    </row>
    <row r="63" spans="1:13" ht="25.5" customHeight="1" x14ac:dyDescent="0.3">
      <c r="A63" s="1246"/>
      <c r="C63" s="1248"/>
      <c r="E63" s="413"/>
      <c r="F63" s="1227"/>
      <c r="G63" s="1227"/>
      <c r="H63" s="1227"/>
      <c r="I63" s="1227"/>
      <c r="J63" s="1223"/>
      <c r="K63" s="1166"/>
      <c r="L63" s="1166"/>
      <c r="M63" s="1166"/>
    </row>
    <row r="64" spans="1:13" ht="14.45" customHeight="1" x14ac:dyDescent="0.3">
      <c r="A64" s="1246"/>
      <c r="C64" s="1248"/>
      <c r="E64" s="385"/>
      <c r="F64" s="385"/>
      <c r="G64" s="385"/>
      <c r="H64" s="385"/>
      <c r="I64" s="385"/>
      <c r="J64" s="414"/>
      <c r="K64" s="414"/>
      <c r="L64" s="414"/>
      <c r="M64" s="414"/>
    </row>
    <row r="65" spans="1:13" ht="14.45" customHeight="1" x14ac:dyDescent="0.3">
      <c r="A65" s="1246"/>
      <c r="C65" s="1248"/>
      <c r="E65" s="385" t="s">
        <v>1066</v>
      </c>
      <c r="F65" s="385"/>
      <c r="G65" s="388" t="s">
        <v>1067</v>
      </c>
      <c r="H65" s="388"/>
      <c r="J65" s="389"/>
      <c r="K65" s="389"/>
      <c r="L65" s="390"/>
      <c r="M65" s="390"/>
    </row>
    <row r="66" spans="1:13" ht="14.45" customHeight="1" x14ac:dyDescent="0.3">
      <c r="A66" s="1246"/>
      <c r="C66" s="1248"/>
      <c r="E66" s="385"/>
      <c r="F66" s="385"/>
      <c r="G66" s="385"/>
      <c r="H66" s="385"/>
      <c r="J66" s="385"/>
      <c r="K66" s="385"/>
      <c r="L66" s="385"/>
      <c r="M66" s="385"/>
    </row>
    <row r="67" spans="1:13" ht="14.45" customHeight="1" x14ac:dyDescent="0.3">
      <c r="A67" s="1246"/>
      <c r="C67" s="1248"/>
      <c r="E67" s="1175" t="s">
        <v>74</v>
      </c>
      <c r="F67" s="1175"/>
      <c r="G67" s="1148" t="s">
        <v>260</v>
      </c>
      <c r="H67" s="1148"/>
      <c r="I67" s="1153" t="s">
        <v>17</v>
      </c>
      <c r="J67" s="1153"/>
      <c r="L67" s="1148" t="s">
        <v>91</v>
      </c>
      <c r="M67" s="1148"/>
    </row>
    <row r="68" spans="1:13" ht="14.45" customHeight="1" x14ac:dyDescent="0.3">
      <c r="A68" s="1246"/>
      <c r="C68" s="1248"/>
      <c r="E68" s="1176" t="s">
        <v>1095</v>
      </c>
      <c r="F68" s="1176"/>
      <c r="G68" s="1149" t="s">
        <v>13</v>
      </c>
      <c r="H68" s="1149"/>
      <c r="I68" s="1154" t="s">
        <v>18</v>
      </c>
      <c r="J68" s="1154"/>
      <c r="L68" s="1149" t="s">
        <v>1021</v>
      </c>
      <c r="M68" s="1149"/>
    </row>
    <row r="69" spans="1:13" ht="14.45" customHeight="1" x14ac:dyDescent="0.3">
      <c r="A69" s="1246"/>
      <c r="C69" s="1248"/>
      <c r="E69" s="391" t="s">
        <v>264</v>
      </c>
      <c r="F69" s="391"/>
      <c r="G69" s="391"/>
      <c r="H69" s="385"/>
      <c r="I69" s="385"/>
      <c r="J69" s="385"/>
      <c r="K69" s="392"/>
      <c r="L69" s="385"/>
      <c r="M69" s="385"/>
    </row>
    <row r="70" spans="1:13" ht="14.45" customHeight="1" x14ac:dyDescent="0.3">
      <c r="A70" s="1246"/>
      <c r="C70" s="1248"/>
      <c r="E70" s="393"/>
      <c r="F70" s="393"/>
      <c r="G70" s="393"/>
      <c r="H70" s="385"/>
      <c r="I70" s="385"/>
      <c r="J70" s="385"/>
      <c r="K70" s="394"/>
      <c r="L70" s="385"/>
      <c r="M70" s="385"/>
    </row>
    <row r="71" spans="1:13" ht="14.45" customHeight="1" x14ac:dyDescent="0.3">
      <c r="A71" s="1246"/>
      <c r="C71" s="1248"/>
      <c r="E71" s="1148" t="s">
        <v>1494</v>
      </c>
      <c r="F71" s="1148"/>
      <c r="G71" s="395"/>
      <c r="H71" s="395"/>
      <c r="I71" s="395"/>
      <c r="J71" s="396"/>
      <c r="K71" s="396"/>
      <c r="L71" s="397"/>
      <c r="M71" s="393"/>
    </row>
    <row r="72" spans="1:13" ht="15" customHeight="1" x14ac:dyDescent="0.3">
      <c r="A72" s="1246"/>
      <c r="C72" s="1248"/>
      <c r="E72" s="1251" t="s">
        <v>23</v>
      </c>
      <c r="F72" s="1251"/>
    </row>
    <row r="73" spans="1:13" ht="15" customHeight="1" x14ac:dyDescent="0.3">
      <c r="A73" s="1246"/>
      <c r="E73" s="415"/>
      <c r="F73" s="415"/>
    </row>
    <row r="74" spans="1:13" ht="15" customHeight="1" x14ac:dyDescent="0.3">
      <c r="A74" s="1246"/>
      <c r="E74" s="415"/>
      <c r="F74" s="415"/>
    </row>
    <row r="75" spans="1:13" ht="15" customHeight="1" x14ac:dyDescent="0.3">
      <c r="A75" s="1246"/>
      <c r="E75" s="415"/>
      <c r="F75" s="415"/>
    </row>
    <row r="76" spans="1:13" ht="15" customHeight="1" x14ac:dyDescent="0.3">
      <c r="A76" s="1246"/>
      <c r="E76" s="415"/>
      <c r="F76" s="415"/>
    </row>
    <row r="77" spans="1:13" ht="15" customHeight="1" x14ac:dyDescent="0.3">
      <c r="A77" s="1246"/>
      <c r="E77" s="415"/>
      <c r="F77" s="415"/>
    </row>
    <row r="78" spans="1:13" ht="15" customHeight="1" x14ac:dyDescent="0.3">
      <c r="A78" s="1246"/>
      <c r="E78" s="415"/>
      <c r="F78" s="415"/>
    </row>
    <row r="79" spans="1:13" ht="15" customHeight="1" x14ac:dyDescent="0.3">
      <c r="A79" s="1246"/>
      <c r="E79" s="415"/>
      <c r="F79" s="415"/>
    </row>
    <row r="80" spans="1:13" ht="15" customHeight="1" x14ac:dyDescent="0.3">
      <c r="A80" s="1246"/>
      <c r="E80" s="415"/>
      <c r="F80" s="415"/>
    </row>
    <row r="81" spans="1:13" ht="14.45" customHeight="1" x14ac:dyDescent="0.3">
      <c r="A81" s="1246"/>
    </row>
    <row r="82" spans="1:13" ht="14.45" customHeight="1" x14ac:dyDescent="0.3">
      <c r="A82" s="1246"/>
    </row>
    <row r="83" spans="1:13" ht="14.45" customHeight="1" x14ac:dyDescent="0.3">
      <c r="A83" s="1246"/>
    </row>
    <row r="84" spans="1:13" ht="18" customHeight="1" x14ac:dyDescent="0.3">
      <c r="A84" s="1246"/>
    </row>
    <row r="85" spans="1:13" ht="14.45" customHeight="1" x14ac:dyDescent="0.3">
      <c r="C85" s="1152" t="s">
        <v>1096</v>
      </c>
      <c r="D85" s="385"/>
      <c r="F85" s="1155" t="s">
        <v>1601</v>
      </c>
      <c r="G85" s="1155"/>
      <c r="H85" s="1155"/>
      <c r="I85" s="1155"/>
      <c r="J85" s="1155"/>
      <c r="K85" s="1155"/>
      <c r="L85" s="1155"/>
      <c r="M85" s="360"/>
    </row>
    <row r="86" spans="1:13" ht="14.45" customHeight="1" x14ac:dyDescent="0.3">
      <c r="C86" s="1169"/>
      <c r="E86" s="1156" t="s">
        <v>182</v>
      </c>
      <c r="F86" s="1156"/>
      <c r="G86" s="1156"/>
      <c r="H86" s="1156"/>
      <c r="I86" s="1156"/>
      <c r="J86" s="1156"/>
      <c r="K86" s="1156"/>
      <c r="L86" s="1156"/>
      <c r="M86" s="1156"/>
    </row>
    <row r="87" spans="1:13" ht="14.45" customHeight="1" x14ac:dyDescent="0.3">
      <c r="C87" s="1169"/>
      <c r="E87" s="385" t="s">
        <v>1097</v>
      </c>
      <c r="F87" s="417" t="s">
        <v>1098</v>
      </c>
      <c r="G87" s="385"/>
      <c r="H87" s="385"/>
      <c r="I87" s="385"/>
      <c r="J87" s="385"/>
      <c r="K87" s="385"/>
      <c r="L87" s="385"/>
      <c r="M87" s="385"/>
    </row>
    <row r="88" spans="1:13" ht="14.45" customHeight="1" x14ac:dyDescent="0.3">
      <c r="C88" s="1169"/>
      <c r="E88" s="385" t="s">
        <v>1029</v>
      </c>
      <c r="F88" s="358" t="s">
        <v>1099</v>
      </c>
      <c r="G88" s="385"/>
      <c r="H88" s="385"/>
      <c r="I88" s="385"/>
      <c r="J88" s="385"/>
      <c r="K88" s="385"/>
      <c r="L88" s="385"/>
      <c r="M88" s="385"/>
    </row>
    <row r="89" spans="1:13" ht="14.45" customHeight="1" x14ac:dyDescent="0.3">
      <c r="C89" s="1169"/>
      <c r="E89" s="385" t="s">
        <v>1031</v>
      </c>
      <c r="F89" s="1147" t="s">
        <v>1100</v>
      </c>
      <c r="G89" s="1147"/>
      <c r="H89" s="1147"/>
      <c r="I89" s="1147"/>
      <c r="J89" s="1147"/>
      <c r="K89" s="1147"/>
      <c r="L89" s="1147"/>
      <c r="M89" s="1147"/>
    </row>
    <row r="90" spans="1:13" ht="14.45" customHeight="1" x14ac:dyDescent="0.3">
      <c r="C90" s="1169"/>
      <c r="E90" s="385" t="s">
        <v>1033</v>
      </c>
      <c r="F90" s="1147" t="s">
        <v>1101</v>
      </c>
      <c r="G90" s="1147"/>
      <c r="H90" s="1147"/>
      <c r="I90" s="1147"/>
      <c r="J90" s="1147"/>
      <c r="K90" s="1147"/>
      <c r="L90" s="1147"/>
      <c r="M90" s="1147"/>
    </row>
    <row r="91" spans="1:13" ht="14.45" customHeight="1" x14ac:dyDescent="0.3">
      <c r="C91" s="1169"/>
      <c r="E91" s="385" t="s">
        <v>1102</v>
      </c>
      <c r="F91" s="385"/>
      <c r="G91" s="385"/>
      <c r="H91" s="385"/>
      <c r="I91" s="385"/>
      <c r="J91" s="385"/>
      <c r="K91" s="385"/>
      <c r="L91" s="385"/>
      <c r="M91" s="385"/>
    </row>
    <row r="92" spans="1:13" ht="14.45" customHeight="1" x14ac:dyDescent="0.3">
      <c r="C92" s="1169"/>
      <c r="E92" s="1158" t="s">
        <v>1036</v>
      </c>
      <c r="F92" s="1158" t="s">
        <v>1103</v>
      </c>
      <c r="G92" s="1158" t="s">
        <v>1104</v>
      </c>
      <c r="H92" s="1158" t="s">
        <v>1105</v>
      </c>
      <c r="I92" s="1158" t="s">
        <v>1037</v>
      </c>
      <c r="J92" s="1245" t="s">
        <v>1603</v>
      </c>
      <c r="K92" s="1245"/>
      <c r="L92" s="1245"/>
      <c r="M92" s="1245"/>
    </row>
    <row r="93" spans="1:13" ht="14.45" customHeight="1" x14ac:dyDescent="0.3">
      <c r="C93" s="1169"/>
      <c r="E93" s="1178"/>
      <c r="F93" s="1178"/>
      <c r="G93" s="1178"/>
      <c r="H93" s="1178"/>
      <c r="I93" s="1178"/>
      <c r="J93" s="418" t="s">
        <v>283</v>
      </c>
      <c r="K93" s="418" t="s">
        <v>1106</v>
      </c>
      <c r="L93" s="418" t="s">
        <v>285</v>
      </c>
      <c r="M93" s="418" t="s">
        <v>15</v>
      </c>
    </row>
    <row r="94" spans="1:13" ht="14.45" customHeight="1" x14ac:dyDescent="0.3">
      <c r="C94" s="1169"/>
      <c r="E94" s="373" t="s">
        <v>1107</v>
      </c>
      <c r="F94" s="1170" t="s">
        <v>1108</v>
      </c>
      <c r="G94" s="1238" t="s">
        <v>1109</v>
      </c>
      <c r="H94" s="1238" t="s">
        <v>1110</v>
      </c>
      <c r="I94" s="1170" t="s">
        <v>1111</v>
      </c>
      <c r="J94" s="1164">
        <f>'[1]LBP NO. 2'!M171</f>
        <v>2244584</v>
      </c>
      <c r="K94" s="1164">
        <f>'[1]LBP NO. 2'!M179</f>
        <v>458607</v>
      </c>
      <c r="L94" s="1164">
        <f>'[1]LBP NO. 2'!M184</f>
        <v>170000</v>
      </c>
      <c r="M94" s="1164">
        <f>SUM(J94:L102)</f>
        <v>2873191</v>
      </c>
    </row>
    <row r="95" spans="1:13" ht="69" customHeight="1" x14ac:dyDescent="0.3">
      <c r="C95" s="1169"/>
      <c r="E95" s="419"/>
      <c r="F95" s="1213"/>
      <c r="G95" s="1240"/>
      <c r="H95" s="1240"/>
      <c r="I95" s="1213"/>
      <c r="J95" s="1165"/>
      <c r="K95" s="1165"/>
      <c r="L95" s="1165"/>
      <c r="M95" s="1165"/>
    </row>
    <row r="96" spans="1:13" ht="14.45" customHeight="1" x14ac:dyDescent="0.3">
      <c r="C96" s="1169"/>
      <c r="E96" s="373" t="s">
        <v>1107</v>
      </c>
      <c r="F96" s="1170" t="s">
        <v>1112</v>
      </c>
      <c r="G96" s="1238" t="s">
        <v>1113</v>
      </c>
      <c r="H96" s="1218" t="s">
        <v>1114</v>
      </c>
      <c r="I96" s="1170" t="s">
        <v>1604</v>
      </c>
      <c r="J96" s="1165"/>
      <c r="K96" s="1165"/>
      <c r="L96" s="1165"/>
      <c r="M96" s="1165"/>
    </row>
    <row r="97" spans="3:13" ht="14.45" customHeight="1" x14ac:dyDescent="0.3">
      <c r="C97" s="1169"/>
      <c r="E97" s="420"/>
      <c r="F97" s="1171"/>
      <c r="G97" s="1239"/>
      <c r="H97" s="1219"/>
      <c r="I97" s="1171"/>
      <c r="J97" s="1165"/>
      <c r="K97" s="1165"/>
      <c r="L97" s="1165"/>
      <c r="M97" s="1165"/>
    </row>
    <row r="98" spans="3:13" ht="91.5" customHeight="1" x14ac:dyDescent="0.3">
      <c r="C98" s="1169"/>
      <c r="E98" s="421"/>
      <c r="F98" s="1213"/>
      <c r="G98" s="1240"/>
      <c r="H98" s="1227"/>
      <c r="I98" s="1213"/>
      <c r="J98" s="1165"/>
      <c r="K98" s="1165"/>
      <c r="L98" s="1165"/>
      <c r="M98" s="1165"/>
    </row>
    <row r="99" spans="3:13" ht="14.45" customHeight="1" x14ac:dyDescent="0.3">
      <c r="C99" s="1169"/>
      <c r="E99" s="373" t="s">
        <v>1107</v>
      </c>
      <c r="F99" s="1218" t="s">
        <v>1630</v>
      </c>
      <c r="G99" s="1238" t="s">
        <v>1115</v>
      </c>
      <c r="H99" s="1218" t="s">
        <v>1116</v>
      </c>
      <c r="I99" s="1170" t="s">
        <v>1605</v>
      </c>
      <c r="J99" s="1165"/>
      <c r="K99" s="1165"/>
      <c r="L99" s="1165"/>
      <c r="M99" s="1165"/>
    </row>
    <row r="100" spans="3:13" ht="14.45" customHeight="1" x14ac:dyDescent="0.3">
      <c r="C100" s="1169"/>
      <c r="E100" s="401"/>
      <c r="F100" s="1219"/>
      <c r="G100" s="1239"/>
      <c r="H100" s="1219"/>
      <c r="I100" s="1171"/>
      <c r="J100" s="1165"/>
      <c r="K100" s="1165"/>
      <c r="L100" s="1165"/>
      <c r="M100" s="1165"/>
    </row>
    <row r="101" spans="3:13" ht="75.75" customHeight="1" x14ac:dyDescent="0.3">
      <c r="C101" s="1169"/>
      <c r="E101" s="419"/>
      <c r="F101" s="1227"/>
      <c r="G101" s="1240"/>
      <c r="H101" s="1227"/>
      <c r="I101" s="1213"/>
      <c r="J101" s="1166"/>
      <c r="K101" s="1166"/>
      <c r="L101" s="1166"/>
      <c r="M101" s="1166"/>
    </row>
    <row r="102" spans="3:13" ht="45.75" customHeight="1" x14ac:dyDescent="0.3">
      <c r="C102" s="1169"/>
      <c r="E102" s="929"/>
      <c r="F102" s="422" t="s">
        <v>1631</v>
      </c>
      <c r="G102" s="423" t="s">
        <v>1632</v>
      </c>
      <c r="H102" s="422" t="s">
        <v>1633</v>
      </c>
      <c r="I102" s="378" t="s">
        <v>1606</v>
      </c>
      <c r="J102" s="1252" t="s">
        <v>1117</v>
      </c>
      <c r="K102" s="1253"/>
      <c r="L102" s="1253"/>
      <c r="M102" s="1254"/>
    </row>
    <row r="103" spans="3:13" ht="20.100000000000001" customHeight="1" thickBot="1" x14ac:dyDescent="0.35">
      <c r="C103" s="1169"/>
      <c r="E103" s="413"/>
      <c r="F103" s="425"/>
      <c r="G103" s="426"/>
      <c r="H103" s="427"/>
      <c r="I103" s="424"/>
      <c r="J103" s="428">
        <f>SUM(J94:J101)</f>
        <v>2244584</v>
      </c>
      <c r="K103" s="429">
        <f>SUM(K94:K101)</f>
        <v>458607</v>
      </c>
      <c r="L103" s="429">
        <f>SUM(L94:L101)</f>
        <v>170000</v>
      </c>
      <c r="M103" s="430">
        <f>SUM(M94:M101)</f>
        <v>2873191</v>
      </c>
    </row>
    <row r="104" spans="3:13" ht="14.45" customHeight="1" thickTop="1" x14ac:dyDescent="0.3">
      <c r="C104" s="1169"/>
      <c r="E104" s="385"/>
      <c r="F104" s="385"/>
      <c r="G104" s="385"/>
      <c r="H104" s="385"/>
      <c r="I104" s="385"/>
      <c r="J104" s="414"/>
      <c r="K104" s="414"/>
      <c r="L104" s="414"/>
      <c r="M104" s="414"/>
    </row>
    <row r="105" spans="3:13" ht="14.45" customHeight="1" x14ac:dyDescent="0.3">
      <c r="C105" s="1169"/>
      <c r="E105" s="385" t="s">
        <v>1066</v>
      </c>
      <c r="F105" s="385"/>
      <c r="G105" s="389" t="s">
        <v>1067</v>
      </c>
      <c r="J105" s="389"/>
      <c r="K105" s="389"/>
      <c r="L105" s="390"/>
      <c r="M105" s="390"/>
    </row>
    <row r="106" spans="3:13" ht="14.45" customHeight="1" x14ac:dyDescent="0.3">
      <c r="C106" s="1169"/>
      <c r="E106" s="385"/>
      <c r="F106" s="385"/>
      <c r="G106" s="385"/>
      <c r="J106" s="385"/>
      <c r="K106" s="385"/>
      <c r="L106" s="385"/>
      <c r="M106" s="385"/>
    </row>
    <row r="107" spans="3:13" ht="14.45" customHeight="1" x14ac:dyDescent="0.3">
      <c r="C107" s="1169"/>
      <c r="E107" s="1175" t="s">
        <v>260</v>
      </c>
      <c r="F107" s="1175"/>
      <c r="G107" s="1148" t="s">
        <v>260</v>
      </c>
      <c r="H107" s="1148"/>
      <c r="I107" s="1153" t="s">
        <v>17</v>
      </c>
      <c r="J107" s="1153"/>
      <c r="L107" s="1148" t="s">
        <v>91</v>
      </c>
      <c r="M107" s="1148"/>
    </row>
    <row r="108" spans="3:13" ht="14.45" customHeight="1" x14ac:dyDescent="0.3">
      <c r="C108" s="1169"/>
      <c r="E108" s="1176" t="s">
        <v>13</v>
      </c>
      <c r="F108" s="1176"/>
      <c r="G108" s="1149" t="s">
        <v>13</v>
      </c>
      <c r="H108" s="1149"/>
      <c r="I108" s="1154" t="s">
        <v>18</v>
      </c>
      <c r="J108" s="1154"/>
      <c r="L108" s="1149" t="s">
        <v>1021</v>
      </c>
      <c r="M108" s="1149"/>
    </row>
    <row r="109" spans="3:13" ht="14.45" customHeight="1" x14ac:dyDescent="0.3">
      <c r="C109" s="1169"/>
      <c r="E109" s="391" t="s">
        <v>264</v>
      </c>
      <c r="F109" s="391"/>
      <c r="G109" s="391"/>
      <c r="H109" s="385"/>
      <c r="I109" s="385"/>
      <c r="J109" s="385"/>
      <c r="K109" s="392"/>
      <c r="L109" s="385"/>
      <c r="M109" s="385"/>
    </row>
    <row r="110" spans="3:13" ht="14.45" customHeight="1" x14ac:dyDescent="0.3">
      <c r="C110" s="1169"/>
      <c r="E110" s="393"/>
      <c r="F110" s="393"/>
      <c r="G110" s="393"/>
      <c r="H110" s="385"/>
      <c r="I110" s="385"/>
      <c r="J110" s="385"/>
      <c r="K110" s="394"/>
      <c r="L110" s="385"/>
      <c r="M110" s="385"/>
    </row>
    <row r="111" spans="3:13" ht="14.45" customHeight="1" x14ac:dyDescent="0.3">
      <c r="C111" s="1169"/>
      <c r="E111" s="1148" t="s">
        <v>1495</v>
      </c>
      <c r="F111" s="1148"/>
      <c r="G111" s="395"/>
      <c r="H111" s="395"/>
      <c r="I111" s="395"/>
      <c r="J111" s="396"/>
      <c r="K111" s="396"/>
      <c r="L111" s="397"/>
      <c r="M111" s="393"/>
    </row>
    <row r="112" spans="3:13" ht="15.95" customHeight="1" x14ac:dyDescent="0.3">
      <c r="C112" s="1169"/>
      <c r="E112" s="1149" t="s">
        <v>14</v>
      </c>
      <c r="F112" s="1149"/>
    </row>
    <row r="114" spans="3:15" ht="14.45" customHeight="1" x14ac:dyDescent="0.3">
      <c r="C114" s="1152" t="s">
        <v>1118</v>
      </c>
      <c r="D114" s="359"/>
      <c r="F114" s="1201" t="s">
        <v>1601</v>
      </c>
      <c r="G114" s="1201"/>
      <c r="H114" s="1201"/>
      <c r="I114" s="1201"/>
      <c r="J114" s="1201"/>
      <c r="K114" s="1201"/>
      <c r="L114" s="1201"/>
      <c r="M114" s="1201"/>
      <c r="N114" s="431"/>
      <c r="O114" s="431"/>
    </row>
    <row r="115" spans="3:15" ht="14.45" customHeight="1" x14ac:dyDescent="0.3">
      <c r="C115" s="1169"/>
      <c r="F115" s="1202" t="s">
        <v>182</v>
      </c>
      <c r="G115" s="1202"/>
      <c r="H115" s="1202"/>
      <c r="I115" s="1202"/>
      <c r="J115" s="1202"/>
      <c r="K115" s="1202"/>
      <c r="L115" s="1202"/>
      <c r="M115" s="1202"/>
      <c r="N115" s="432"/>
      <c r="O115" s="432"/>
    </row>
    <row r="116" spans="3:15" ht="14.45" customHeight="1" x14ac:dyDescent="0.3">
      <c r="C116" s="1169"/>
      <c r="E116" s="433" t="s">
        <v>1097</v>
      </c>
      <c r="F116" s="434" t="s">
        <v>1119</v>
      </c>
      <c r="G116" s="433"/>
      <c r="I116" s="433"/>
      <c r="J116" s="433"/>
      <c r="K116" s="433"/>
      <c r="L116" s="433"/>
      <c r="M116" s="433"/>
      <c r="N116" s="433"/>
      <c r="O116" s="433"/>
    </row>
    <row r="117" spans="3:15" ht="14.45" customHeight="1" x14ac:dyDescent="0.3">
      <c r="C117" s="1169"/>
      <c r="E117" s="433" t="s">
        <v>1120</v>
      </c>
      <c r="F117" s="433" t="s">
        <v>1121</v>
      </c>
      <c r="G117" s="433"/>
      <c r="I117" s="433"/>
      <c r="J117" s="433"/>
      <c r="K117" s="433"/>
      <c r="L117" s="433"/>
      <c r="M117" s="433"/>
      <c r="N117" s="433"/>
      <c r="O117" s="433"/>
    </row>
    <row r="118" spans="3:15" ht="14.45" customHeight="1" x14ac:dyDescent="0.3">
      <c r="C118" s="1169"/>
      <c r="E118" s="433" t="s">
        <v>1031</v>
      </c>
      <c r="F118" s="433" t="s">
        <v>1122</v>
      </c>
      <c r="G118" s="433"/>
      <c r="I118" s="433"/>
      <c r="J118" s="433"/>
      <c r="K118" s="433"/>
      <c r="L118" s="433"/>
      <c r="M118" s="433"/>
      <c r="N118" s="433"/>
      <c r="O118" s="433"/>
    </row>
    <row r="119" spans="3:15" ht="14.45" customHeight="1" x14ac:dyDescent="0.3">
      <c r="C119" s="1169"/>
      <c r="E119" s="433" t="s">
        <v>1123</v>
      </c>
      <c r="F119" s="433" t="s">
        <v>1124</v>
      </c>
      <c r="G119" s="433"/>
      <c r="I119" s="433"/>
      <c r="J119" s="433"/>
      <c r="K119" s="433"/>
      <c r="L119" s="433"/>
      <c r="M119" s="433"/>
      <c r="N119" s="433"/>
      <c r="O119" s="433"/>
    </row>
    <row r="120" spans="3:15" ht="14.45" customHeight="1" x14ac:dyDescent="0.3">
      <c r="C120" s="1169"/>
      <c r="E120" s="433"/>
      <c r="F120" s="433" t="s">
        <v>1125</v>
      </c>
      <c r="G120" s="433"/>
      <c r="I120" s="433"/>
      <c r="J120" s="433"/>
      <c r="K120" s="433"/>
      <c r="L120" s="433"/>
      <c r="M120" s="433"/>
      <c r="N120" s="433"/>
      <c r="O120" s="433"/>
    </row>
    <row r="121" spans="3:15" ht="14.45" customHeight="1" x14ac:dyDescent="0.3">
      <c r="C121" s="1169"/>
      <c r="E121" s="1241" t="s">
        <v>1126</v>
      </c>
      <c r="F121" s="1241"/>
      <c r="G121" s="1241"/>
      <c r="H121" s="1241"/>
      <c r="I121" s="1241"/>
      <c r="J121" s="1241"/>
      <c r="K121" s="1241"/>
      <c r="L121" s="1241"/>
      <c r="M121" s="433"/>
      <c r="N121" s="433"/>
      <c r="O121" s="433"/>
    </row>
    <row r="122" spans="3:15" ht="14.45" customHeight="1" x14ac:dyDescent="0.3">
      <c r="C122" s="1169"/>
      <c r="E122" s="433"/>
      <c r="F122" s="433"/>
      <c r="G122" s="433"/>
      <c r="H122" s="433"/>
      <c r="I122" s="433"/>
      <c r="J122" s="433"/>
      <c r="K122" s="433"/>
      <c r="L122" s="433"/>
      <c r="M122" s="433"/>
      <c r="N122" s="433"/>
      <c r="O122" s="433"/>
    </row>
    <row r="123" spans="3:15" ht="14.45" customHeight="1" x14ac:dyDescent="0.3">
      <c r="C123" s="1169"/>
      <c r="E123" s="1158" t="s">
        <v>1036</v>
      </c>
      <c r="F123" s="435" t="s">
        <v>1103</v>
      </c>
      <c r="G123" s="436" t="s">
        <v>650</v>
      </c>
      <c r="H123" s="1180" t="s">
        <v>1105</v>
      </c>
      <c r="I123" s="1180" t="s">
        <v>1037</v>
      </c>
      <c r="J123" s="1182" t="s">
        <v>1607</v>
      </c>
      <c r="K123" s="1183"/>
      <c r="L123" s="1183"/>
      <c r="M123" s="1184"/>
    </row>
    <row r="124" spans="3:15" ht="18" customHeight="1" x14ac:dyDescent="0.3">
      <c r="C124" s="1169"/>
      <c r="E124" s="1178"/>
      <c r="F124" s="437"/>
      <c r="G124" s="438"/>
      <c r="H124" s="1181"/>
      <c r="I124" s="1181"/>
      <c r="J124" s="439" t="s">
        <v>283</v>
      </c>
      <c r="K124" s="440" t="s">
        <v>284</v>
      </c>
      <c r="L124" s="440" t="s">
        <v>285</v>
      </c>
      <c r="M124" s="441" t="s">
        <v>15</v>
      </c>
    </row>
    <row r="125" spans="3:15" ht="39.75" customHeight="1" x14ac:dyDescent="0.3">
      <c r="C125" s="1169"/>
      <c r="E125" s="442" t="s">
        <v>1127</v>
      </c>
      <c r="F125" s="443" t="s">
        <v>1128</v>
      </c>
      <c r="G125" s="444"/>
      <c r="H125" s="445" t="s">
        <v>1129</v>
      </c>
      <c r="I125" s="446" t="s">
        <v>1608</v>
      </c>
      <c r="J125" s="1242">
        <f>'[1]LBP NO. 2'!M238</f>
        <v>2013438</v>
      </c>
      <c r="K125" s="1242">
        <f>'[1]LBP NO. 2'!M247</f>
        <v>199250</v>
      </c>
      <c r="L125" s="1242">
        <f>'[1]LBP NO. 2'!M252</f>
        <v>70000</v>
      </c>
      <c r="M125" s="1242">
        <f>SUM(J125:L137)</f>
        <v>2282688</v>
      </c>
    </row>
    <row r="126" spans="3:15" ht="14.45" customHeight="1" x14ac:dyDescent="0.3">
      <c r="C126" s="1169"/>
      <c r="E126" s="447"/>
      <c r="F126" s="448"/>
      <c r="G126" s="449"/>
      <c r="H126" s="450"/>
      <c r="I126" s="451"/>
      <c r="J126" s="1243"/>
      <c r="K126" s="1243"/>
      <c r="L126" s="1243"/>
      <c r="M126" s="1243"/>
    </row>
    <row r="127" spans="3:15" ht="55.5" customHeight="1" x14ac:dyDescent="0.3">
      <c r="C127" s="1169"/>
      <c r="E127" s="442" t="s">
        <v>1127</v>
      </c>
      <c r="F127" s="443" t="s">
        <v>1130</v>
      </c>
      <c r="G127" s="452" t="s">
        <v>1131</v>
      </c>
      <c r="H127" s="453" t="s">
        <v>1132</v>
      </c>
      <c r="I127" s="446" t="s">
        <v>1133</v>
      </c>
      <c r="J127" s="1243"/>
      <c r="K127" s="1243"/>
      <c r="L127" s="1243"/>
      <c r="M127" s="1243"/>
    </row>
    <row r="128" spans="3:15" ht="14.45" customHeight="1" x14ac:dyDescent="0.3">
      <c r="C128" s="1169"/>
      <c r="E128" s="447"/>
      <c r="F128" s="448"/>
      <c r="G128" s="454"/>
      <c r="H128" s="455"/>
      <c r="I128" s="449"/>
      <c r="J128" s="1243"/>
      <c r="K128" s="1243"/>
      <c r="L128" s="1243"/>
      <c r="M128" s="1243"/>
    </row>
    <row r="129" spans="3:15" ht="43.5" customHeight="1" x14ac:dyDescent="0.3">
      <c r="C129" s="1169"/>
      <c r="E129" s="447" t="s">
        <v>1127</v>
      </c>
      <c r="F129" s="456" t="s">
        <v>1134</v>
      </c>
      <c r="G129" s="454" t="s">
        <v>1135</v>
      </c>
      <c r="H129" s="450" t="s">
        <v>1136</v>
      </c>
      <c r="I129" s="451" t="s">
        <v>1137</v>
      </c>
      <c r="J129" s="1243"/>
      <c r="K129" s="1243"/>
      <c r="L129" s="1243"/>
      <c r="M129" s="1243"/>
    </row>
    <row r="130" spans="3:15" ht="23.25" customHeight="1" x14ac:dyDescent="0.3">
      <c r="C130" s="1169"/>
      <c r="E130" s="457" t="s">
        <v>1127</v>
      </c>
      <c r="F130" s="458" t="s">
        <v>1138</v>
      </c>
      <c r="G130" s="459" t="s">
        <v>1139</v>
      </c>
      <c r="H130" s="458" t="s">
        <v>1140</v>
      </c>
      <c r="I130" s="460" t="s">
        <v>1141</v>
      </c>
      <c r="J130" s="1243"/>
      <c r="K130" s="1243"/>
      <c r="L130" s="1243"/>
      <c r="M130" s="1243"/>
    </row>
    <row r="131" spans="3:15" ht="14.45" customHeight="1" x14ac:dyDescent="0.3">
      <c r="C131" s="1169"/>
      <c r="E131" s="457"/>
      <c r="F131" s="458"/>
      <c r="G131" s="461"/>
      <c r="H131" s="458"/>
      <c r="I131" s="449"/>
      <c r="J131" s="1243"/>
      <c r="K131" s="1243"/>
      <c r="L131" s="1243"/>
      <c r="M131" s="1243"/>
    </row>
    <row r="132" spans="3:15" ht="57" customHeight="1" x14ac:dyDescent="0.3">
      <c r="C132" s="1169"/>
      <c r="E132" s="442" t="s">
        <v>1127</v>
      </c>
      <c r="F132" s="453" t="s">
        <v>1142</v>
      </c>
      <c r="G132" s="462" t="s">
        <v>1143</v>
      </c>
      <c r="H132" s="453" t="s">
        <v>1144</v>
      </c>
      <c r="I132" s="446" t="s">
        <v>1143</v>
      </c>
      <c r="J132" s="1243"/>
      <c r="K132" s="1243"/>
      <c r="L132" s="1243"/>
      <c r="M132" s="1243"/>
    </row>
    <row r="133" spans="3:15" ht="14.45" customHeight="1" x14ac:dyDescent="0.3">
      <c r="C133" s="1169"/>
      <c r="E133" s="447"/>
      <c r="F133" s="463"/>
      <c r="G133" s="454"/>
      <c r="H133" s="456"/>
      <c r="I133" s="464"/>
      <c r="J133" s="1243"/>
      <c r="K133" s="1243"/>
      <c r="L133" s="1243"/>
      <c r="M133" s="1243"/>
    </row>
    <row r="134" spans="3:15" ht="27" customHeight="1" x14ac:dyDescent="0.3">
      <c r="C134" s="1169"/>
      <c r="E134" s="442" t="s">
        <v>1127</v>
      </c>
      <c r="F134" s="453" t="s">
        <v>1145</v>
      </c>
      <c r="G134" s="452" t="s">
        <v>1146</v>
      </c>
      <c r="H134" s="453"/>
      <c r="I134" s="465" t="s">
        <v>1147</v>
      </c>
      <c r="J134" s="1243"/>
      <c r="K134" s="1243"/>
      <c r="L134" s="1243"/>
      <c r="M134" s="1243"/>
    </row>
    <row r="135" spans="3:15" ht="14.45" customHeight="1" x14ac:dyDescent="0.3">
      <c r="C135" s="1169"/>
      <c r="E135" s="447"/>
      <c r="F135" s="456"/>
      <c r="G135" s="454"/>
      <c r="H135" s="456"/>
      <c r="I135" s="466"/>
      <c r="J135" s="1243"/>
      <c r="K135" s="1243"/>
      <c r="L135" s="1243"/>
      <c r="M135" s="1243"/>
    </row>
    <row r="136" spans="3:15" ht="35.25" customHeight="1" x14ac:dyDescent="0.3">
      <c r="C136" s="1169"/>
      <c r="E136" s="457" t="s">
        <v>1127</v>
      </c>
      <c r="F136" s="458" t="s">
        <v>1148</v>
      </c>
      <c r="G136" s="459" t="s">
        <v>1149</v>
      </c>
      <c r="H136" s="458"/>
      <c r="I136" s="467" t="s">
        <v>1150</v>
      </c>
      <c r="J136" s="1243"/>
      <c r="K136" s="1243"/>
      <c r="L136" s="1243"/>
      <c r="M136" s="1243"/>
    </row>
    <row r="137" spans="3:15" ht="14.45" customHeight="1" x14ac:dyDescent="0.3">
      <c r="C137" s="1169"/>
      <c r="E137" s="447"/>
      <c r="F137" s="456"/>
      <c r="G137" s="454"/>
      <c r="H137" s="456"/>
      <c r="I137" s="468"/>
      <c r="J137" s="1244"/>
      <c r="K137" s="1244"/>
      <c r="L137" s="1244"/>
      <c r="M137" s="1244"/>
    </row>
    <row r="138" spans="3:15" ht="14.45" customHeight="1" x14ac:dyDescent="0.3">
      <c r="C138" s="1169"/>
      <c r="E138" s="469"/>
      <c r="F138" s="469"/>
      <c r="G138" s="469"/>
      <c r="H138" s="469"/>
      <c r="I138" s="469"/>
      <c r="J138" s="469"/>
      <c r="K138" s="469"/>
      <c r="L138" s="470"/>
      <c r="M138" s="470"/>
      <c r="N138" s="470"/>
      <c r="O138" s="470"/>
    </row>
    <row r="139" spans="3:15" ht="14.45" customHeight="1" x14ac:dyDescent="0.3">
      <c r="C139" s="1169"/>
      <c r="E139" s="433" t="s">
        <v>1066</v>
      </c>
      <c r="F139" s="433"/>
      <c r="G139" s="471" t="s">
        <v>1067</v>
      </c>
      <c r="H139" s="471"/>
      <c r="J139" s="471"/>
      <c r="K139" s="471"/>
      <c r="L139" s="469"/>
      <c r="M139" s="469"/>
      <c r="N139" s="469"/>
      <c r="O139" s="469"/>
    </row>
    <row r="140" spans="3:15" ht="14.45" customHeight="1" x14ac:dyDescent="0.3">
      <c r="C140" s="1169"/>
      <c r="E140" s="433"/>
      <c r="F140" s="433"/>
      <c r="G140" s="433"/>
      <c r="H140" s="433"/>
      <c r="I140" s="433"/>
      <c r="J140" s="433"/>
      <c r="K140" s="433"/>
      <c r="L140" s="469"/>
      <c r="M140" s="469"/>
      <c r="N140" s="469"/>
      <c r="O140" s="469"/>
    </row>
    <row r="141" spans="3:15" ht="14.45" customHeight="1" x14ac:dyDescent="0.3">
      <c r="C141" s="1169"/>
      <c r="E141" s="1194" t="s">
        <v>24</v>
      </c>
      <c r="F141" s="1194"/>
      <c r="G141" s="1195" t="s">
        <v>260</v>
      </c>
      <c r="H141" s="1195"/>
      <c r="I141" s="1196" t="s">
        <v>17</v>
      </c>
      <c r="J141" s="1196"/>
      <c r="L141" s="1148" t="s">
        <v>91</v>
      </c>
      <c r="M141" s="1148"/>
      <c r="N141" s="472"/>
    </row>
    <row r="142" spans="3:15" ht="14.45" customHeight="1" x14ac:dyDescent="0.3">
      <c r="C142" s="1169"/>
      <c r="E142" s="1197" t="s">
        <v>874</v>
      </c>
      <c r="F142" s="1197"/>
      <c r="G142" s="1198" t="s">
        <v>13</v>
      </c>
      <c r="H142" s="1198"/>
      <c r="I142" s="1199" t="s">
        <v>18</v>
      </c>
      <c r="J142" s="1199"/>
      <c r="L142" s="1149" t="s">
        <v>1021</v>
      </c>
      <c r="M142" s="1149"/>
      <c r="N142" s="473"/>
    </row>
    <row r="143" spans="3:15" ht="14.45" customHeight="1" x14ac:dyDescent="0.3">
      <c r="C143" s="1169"/>
      <c r="E143" s="474" t="s">
        <v>264</v>
      </c>
      <c r="F143" s="474"/>
      <c r="G143" s="474"/>
      <c r="H143" s="433"/>
      <c r="I143" s="433"/>
      <c r="J143" s="433"/>
      <c r="K143" s="475"/>
      <c r="L143" s="476"/>
      <c r="M143" s="474"/>
      <c r="N143" s="474"/>
      <c r="O143" s="469"/>
    </row>
    <row r="144" spans="3:15" ht="14.45" customHeight="1" x14ac:dyDescent="0.3">
      <c r="C144" s="1169"/>
      <c r="E144" s="476"/>
      <c r="F144" s="476"/>
      <c r="G144" s="476"/>
      <c r="H144" s="433"/>
      <c r="I144" s="433"/>
      <c r="J144" s="433"/>
      <c r="K144" s="477"/>
      <c r="L144" s="476"/>
      <c r="M144" s="478"/>
      <c r="N144" s="474"/>
      <c r="O144" s="469"/>
    </row>
    <row r="145" spans="3:15" ht="14.45" customHeight="1" x14ac:dyDescent="0.3">
      <c r="C145" s="1169"/>
      <c r="E145" s="1148" t="s">
        <v>1495</v>
      </c>
      <c r="F145" s="1148"/>
      <c r="G145" s="479"/>
      <c r="H145" s="479"/>
      <c r="I145" s="472"/>
      <c r="J145" s="480"/>
      <c r="K145" s="480"/>
      <c r="L145" s="433"/>
      <c r="M145" s="433"/>
      <c r="N145" s="433"/>
      <c r="O145" s="469"/>
    </row>
    <row r="146" spans="3:15" ht="14.45" customHeight="1" x14ac:dyDescent="0.3">
      <c r="C146" s="1169"/>
      <c r="E146" s="1149" t="s">
        <v>14</v>
      </c>
      <c r="F146" s="1149"/>
      <c r="G146" s="481"/>
      <c r="H146" s="481"/>
      <c r="I146" s="473"/>
      <c r="J146" s="482"/>
      <c r="K146" s="480"/>
      <c r="L146" s="433"/>
      <c r="M146" s="433"/>
      <c r="N146" s="433"/>
      <c r="O146" s="469"/>
    </row>
    <row r="148" spans="3:15" ht="15.95" customHeight="1" x14ac:dyDescent="0.3"/>
    <row r="149" spans="3:15" ht="14.45" customHeight="1" x14ac:dyDescent="0.3">
      <c r="C149" s="926" t="s">
        <v>1151</v>
      </c>
      <c r="D149" s="385"/>
      <c r="F149" s="1155" t="s">
        <v>1601</v>
      </c>
      <c r="G149" s="1155"/>
      <c r="H149" s="1155"/>
      <c r="I149" s="1155"/>
      <c r="J149" s="1155"/>
      <c r="K149" s="1155"/>
      <c r="L149" s="1155"/>
      <c r="M149" s="360"/>
    </row>
    <row r="150" spans="3:15" ht="14.45" customHeight="1" x14ac:dyDescent="0.3">
      <c r="C150" s="926"/>
      <c r="E150" s="1156" t="s">
        <v>182</v>
      </c>
      <c r="F150" s="1156"/>
      <c r="G150" s="1156"/>
      <c r="H150" s="1156"/>
      <c r="I150" s="1156"/>
      <c r="J150" s="1156"/>
      <c r="K150" s="1156"/>
      <c r="L150" s="1156"/>
      <c r="M150" s="1156"/>
    </row>
    <row r="151" spans="3:15" ht="14.45" customHeight="1" x14ac:dyDescent="0.3">
      <c r="C151" s="926"/>
      <c r="E151" s="358" t="s">
        <v>1027</v>
      </c>
      <c r="F151" s="362" t="s">
        <v>1152</v>
      </c>
    </row>
    <row r="152" spans="3:15" ht="14.45" customHeight="1" x14ac:dyDescent="0.3">
      <c r="C152" s="926"/>
      <c r="E152" s="358" t="s">
        <v>1029</v>
      </c>
      <c r="F152" s="358" t="s">
        <v>1153</v>
      </c>
    </row>
    <row r="153" spans="3:15" ht="14.45" customHeight="1" x14ac:dyDescent="0.3">
      <c r="C153" s="926"/>
      <c r="E153" s="358" t="s">
        <v>1031</v>
      </c>
      <c r="F153" s="1147" t="s">
        <v>1154</v>
      </c>
      <c r="G153" s="1147"/>
      <c r="H153" s="1147"/>
      <c r="I153" s="1147"/>
      <c r="J153" s="483"/>
      <c r="K153" s="483"/>
      <c r="L153" s="483"/>
      <c r="M153" s="483"/>
    </row>
    <row r="154" spans="3:15" ht="33" customHeight="1" x14ac:dyDescent="0.3">
      <c r="C154" s="926"/>
      <c r="E154" s="484" t="s">
        <v>1033</v>
      </c>
      <c r="F154" s="1147" t="s">
        <v>1155</v>
      </c>
      <c r="G154" s="1147"/>
      <c r="H154" s="1147"/>
      <c r="I154" s="1147"/>
      <c r="J154" s="485"/>
      <c r="K154" s="485"/>
      <c r="L154" s="485"/>
      <c r="M154" s="485"/>
    </row>
    <row r="155" spans="3:15" ht="14.45" customHeight="1" x14ac:dyDescent="0.3">
      <c r="C155" s="926"/>
      <c r="E155" s="358" t="s">
        <v>1156</v>
      </c>
    </row>
    <row r="156" spans="3:15" ht="14.45" customHeight="1" x14ac:dyDescent="0.3">
      <c r="C156" s="926"/>
      <c r="E156" s="1158" t="s">
        <v>1036</v>
      </c>
      <c r="F156" s="367" t="s">
        <v>648</v>
      </c>
      <c r="G156" s="1235" t="s">
        <v>650</v>
      </c>
      <c r="H156" s="367" t="s">
        <v>651</v>
      </c>
      <c r="I156" s="1158" t="s">
        <v>1037</v>
      </c>
      <c r="J156" s="1237" t="s">
        <v>1602</v>
      </c>
      <c r="K156" s="1162"/>
      <c r="L156" s="1162"/>
      <c r="M156" s="1163"/>
    </row>
    <row r="157" spans="3:15" ht="14.45" customHeight="1" x14ac:dyDescent="0.3">
      <c r="C157" s="926"/>
      <c r="E157" s="1159"/>
      <c r="F157" s="486" t="s">
        <v>649</v>
      </c>
      <c r="G157" s="1236"/>
      <c r="H157" s="486" t="s">
        <v>652</v>
      </c>
      <c r="I157" s="1159"/>
      <c r="J157" s="370" t="s">
        <v>283</v>
      </c>
      <c r="K157" s="370" t="s">
        <v>284</v>
      </c>
      <c r="L157" s="371" t="s">
        <v>285</v>
      </c>
      <c r="M157" s="372" t="s">
        <v>15</v>
      </c>
    </row>
    <row r="158" spans="3:15" ht="14.45" customHeight="1" x14ac:dyDescent="0.3">
      <c r="C158" s="926"/>
      <c r="E158" s="373" t="s">
        <v>1157</v>
      </c>
      <c r="F158" s="1170" t="s">
        <v>1158</v>
      </c>
      <c r="G158" s="1170" t="s">
        <v>1159</v>
      </c>
      <c r="H158" s="1172" t="s">
        <v>1160</v>
      </c>
      <c r="I158" s="403" t="s">
        <v>1161</v>
      </c>
      <c r="J158" s="1164">
        <f>'[1]LBP NO. 2'!M309</f>
        <v>2161780</v>
      </c>
      <c r="K158" s="1164">
        <f>'[1]LBP NO. 2'!M317</f>
        <v>310000</v>
      </c>
      <c r="L158" s="1164">
        <f>'[1]LBP NO. 2'!M322</f>
        <v>20000</v>
      </c>
      <c r="M158" s="1164">
        <f>SUM(J158:L183)</f>
        <v>2491780</v>
      </c>
    </row>
    <row r="159" spans="3:15" ht="32.25" customHeight="1" x14ac:dyDescent="0.3">
      <c r="C159" s="926"/>
      <c r="E159" s="374"/>
      <c r="F159" s="1171"/>
      <c r="G159" s="1171"/>
      <c r="H159" s="1168"/>
      <c r="I159" s="405" t="s">
        <v>1162</v>
      </c>
      <c r="J159" s="1165"/>
      <c r="K159" s="1165"/>
      <c r="L159" s="1165"/>
      <c r="M159" s="1165"/>
    </row>
    <row r="160" spans="3:15" ht="14.45" customHeight="1" x14ac:dyDescent="0.3">
      <c r="C160" s="926"/>
      <c r="E160" s="374"/>
      <c r="F160" s="1171"/>
      <c r="G160" s="1171"/>
      <c r="H160" s="1168"/>
      <c r="I160" s="383"/>
      <c r="J160" s="1165"/>
      <c r="K160" s="1165"/>
      <c r="L160" s="1165"/>
      <c r="M160" s="1165"/>
    </row>
    <row r="161" spans="3:13" ht="14.45" customHeight="1" x14ac:dyDescent="0.3">
      <c r="C161" s="926"/>
      <c r="E161" s="373" t="s">
        <v>1157</v>
      </c>
      <c r="F161" s="1172" t="s">
        <v>1163</v>
      </c>
      <c r="G161" s="1170" t="s">
        <v>1164</v>
      </c>
      <c r="H161" s="1170" t="s">
        <v>1165</v>
      </c>
      <c r="I161" s="487" t="s">
        <v>1161</v>
      </c>
      <c r="J161" s="1165"/>
      <c r="K161" s="1165"/>
      <c r="L161" s="1165"/>
      <c r="M161" s="1165"/>
    </row>
    <row r="162" spans="3:13" ht="42.75" customHeight="1" x14ac:dyDescent="0.3">
      <c r="C162" s="926"/>
      <c r="E162" s="375"/>
      <c r="F162" s="1217"/>
      <c r="G162" s="1213"/>
      <c r="H162" s="1213"/>
      <c r="I162" s="383" t="s">
        <v>1166</v>
      </c>
      <c r="J162" s="1165"/>
      <c r="K162" s="1165"/>
      <c r="L162" s="1165"/>
      <c r="M162" s="1165"/>
    </row>
    <row r="163" spans="3:13" ht="30.75" customHeight="1" x14ac:dyDescent="0.3">
      <c r="C163" s="926"/>
      <c r="E163" s="373" t="s">
        <v>1157</v>
      </c>
      <c r="F163" s="1170" t="s">
        <v>1167</v>
      </c>
      <c r="G163" s="1218" t="s">
        <v>1168</v>
      </c>
      <c r="H163" s="1218" t="s">
        <v>1169</v>
      </c>
      <c r="I163" s="405" t="s">
        <v>1170</v>
      </c>
      <c r="J163" s="1165"/>
      <c r="K163" s="1165"/>
      <c r="L163" s="1165"/>
      <c r="M163" s="1165"/>
    </row>
    <row r="164" spans="3:13" ht="24" customHeight="1" x14ac:dyDescent="0.3">
      <c r="C164" s="926"/>
      <c r="E164" s="375"/>
      <c r="F164" s="1213"/>
      <c r="G164" s="1227"/>
      <c r="H164" s="1227"/>
      <c r="I164" s="405"/>
      <c r="J164" s="1165"/>
      <c r="K164" s="1165"/>
      <c r="L164" s="1165"/>
      <c r="M164" s="1165"/>
    </row>
    <row r="165" spans="3:13" ht="45.75" customHeight="1" x14ac:dyDescent="0.3">
      <c r="C165" s="926"/>
      <c r="E165" s="373" t="s">
        <v>1157</v>
      </c>
      <c r="F165" s="1170" t="s">
        <v>1171</v>
      </c>
      <c r="G165" s="1172" t="s">
        <v>1172</v>
      </c>
      <c r="H165" s="1170" t="s">
        <v>1173</v>
      </c>
      <c r="I165" s="1172" t="s">
        <v>1174</v>
      </c>
      <c r="J165" s="1165"/>
      <c r="K165" s="1165"/>
      <c r="L165" s="1165"/>
      <c r="M165" s="1165"/>
    </row>
    <row r="166" spans="3:13" ht="14.45" customHeight="1" x14ac:dyDescent="0.3">
      <c r="C166" s="926"/>
      <c r="E166" s="374"/>
      <c r="F166" s="1171"/>
      <c r="G166" s="1168"/>
      <c r="H166" s="1171"/>
      <c r="I166" s="1168"/>
      <c r="J166" s="1165"/>
      <c r="K166" s="1165"/>
      <c r="L166" s="1165"/>
      <c r="M166" s="1165"/>
    </row>
    <row r="167" spans="3:13" ht="14.45" customHeight="1" x14ac:dyDescent="0.3">
      <c r="C167" s="926"/>
      <c r="E167" s="375"/>
      <c r="F167" s="1213"/>
      <c r="G167" s="1217"/>
      <c r="H167" s="488"/>
      <c r="I167" s="489"/>
      <c r="J167" s="1165"/>
      <c r="K167" s="1165"/>
      <c r="L167" s="1165"/>
      <c r="M167" s="1165"/>
    </row>
    <row r="168" spans="3:13" ht="44.25" customHeight="1" x14ac:dyDescent="0.3">
      <c r="C168" s="926"/>
      <c r="E168" s="377" t="s">
        <v>1157</v>
      </c>
      <c r="F168" s="490" t="s">
        <v>1175</v>
      </c>
      <c r="G168" s="403" t="s">
        <v>1176</v>
      </c>
      <c r="H168" s="490" t="s">
        <v>1177</v>
      </c>
      <c r="I168" s="490" t="s">
        <v>1178</v>
      </c>
      <c r="J168" s="1165"/>
      <c r="K168" s="1165"/>
      <c r="L168" s="1165"/>
      <c r="M168" s="1165"/>
    </row>
    <row r="169" spans="3:13" ht="14.45" customHeight="1" x14ac:dyDescent="0.3">
      <c r="C169" s="926"/>
      <c r="E169" s="375"/>
      <c r="F169" s="491"/>
      <c r="G169" s="383"/>
      <c r="H169" s="488"/>
      <c r="I169" s="492"/>
      <c r="J169" s="1165"/>
      <c r="K169" s="1165"/>
      <c r="L169" s="1165"/>
      <c r="M169" s="1165"/>
    </row>
    <row r="170" spans="3:13" ht="14.45" customHeight="1" x14ac:dyDescent="0.3">
      <c r="C170" s="926"/>
      <c r="E170" s="377" t="s">
        <v>1157</v>
      </c>
      <c r="F170" s="1233" t="s">
        <v>1179</v>
      </c>
      <c r="G170" s="403" t="s">
        <v>1180</v>
      </c>
      <c r="H170" s="1170" t="s">
        <v>1181</v>
      </c>
      <c r="I170" s="493" t="s">
        <v>1182</v>
      </c>
      <c r="J170" s="1165"/>
      <c r="K170" s="1165"/>
      <c r="L170" s="1165"/>
      <c r="M170" s="1165"/>
    </row>
    <row r="171" spans="3:13" ht="44.25" customHeight="1" x14ac:dyDescent="0.3">
      <c r="C171" s="926"/>
      <c r="E171" s="494"/>
      <c r="F171" s="1234"/>
      <c r="G171" s="495"/>
      <c r="H171" s="1213"/>
      <c r="I171" s="496" t="s">
        <v>1183</v>
      </c>
      <c r="J171" s="1165"/>
      <c r="K171" s="1165"/>
      <c r="L171" s="1165"/>
      <c r="M171" s="1165"/>
    </row>
    <row r="172" spans="3:13" ht="49.5" customHeight="1" x14ac:dyDescent="0.3">
      <c r="C172" s="926"/>
      <c r="D172" s="497"/>
      <c r="E172" s="377" t="s">
        <v>1157</v>
      </c>
      <c r="F172" s="498" t="s">
        <v>1184</v>
      </c>
      <c r="G172" s="499" t="s">
        <v>1185</v>
      </c>
      <c r="H172" s="500" t="s">
        <v>1186</v>
      </c>
      <c r="I172" s="501" t="s">
        <v>1161</v>
      </c>
      <c r="J172" s="1165"/>
      <c r="K172" s="1165"/>
      <c r="L172" s="1165"/>
      <c r="M172" s="1165"/>
    </row>
    <row r="173" spans="3:13" ht="14.45" customHeight="1" x14ac:dyDescent="0.3">
      <c r="C173" s="926"/>
      <c r="D173" s="497"/>
      <c r="E173" s="624"/>
      <c r="F173" s="500"/>
      <c r="G173" s="499"/>
      <c r="H173" s="500"/>
      <c r="I173" s="625"/>
      <c r="J173" s="1165"/>
      <c r="K173" s="1165"/>
      <c r="L173" s="1165"/>
      <c r="M173" s="1165"/>
    </row>
    <row r="174" spans="3:13" ht="14.25" customHeight="1" x14ac:dyDescent="0.3">
      <c r="C174" s="926"/>
      <c r="E174" s="509" t="s">
        <v>1157</v>
      </c>
      <c r="F174" s="1171" t="s">
        <v>1187</v>
      </c>
      <c r="G174" s="1219" t="s">
        <v>1188</v>
      </c>
      <c r="H174" s="1171" t="s">
        <v>1189</v>
      </c>
      <c r="I174" s="496" t="s">
        <v>1161</v>
      </c>
      <c r="J174" s="1165"/>
      <c r="K174" s="1165"/>
      <c r="L174" s="1165"/>
      <c r="M174" s="1165"/>
    </row>
    <row r="175" spans="3:13" ht="45.75" customHeight="1" x14ac:dyDescent="0.3">
      <c r="C175" s="926"/>
      <c r="E175" s="374"/>
      <c r="F175" s="1171"/>
      <c r="G175" s="1219"/>
      <c r="H175" s="1171"/>
      <c r="I175" s="502"/>
      <c r="J175" s="1165"/>
      <c r="K175" s="1165"/>
      <c r="L175" s="1165"/>
      <c r="M175" s="1165"/>
    </row>
    <row r="176" spans="3:13" ht="15.95" customHeight="1" x14ac:dyDescent="0.3">
      <c r="C176" s="503"/>
      <c r="E176" s="374"/>
      <c r="F176" s="381"/>
      <c r="G176" s="410"/>
      <c r="H176" s="504"/>
      <c r="I176" s="502"/>
      <c r="J176" s="1165"/>
      <c r="K176" s="1165"/>
      <c r="L176" s="1165"/>
      <c r="M176" s="1165"/>
    </row>
    <row r="177" spans="3:13" ht="15.95" customHeight="1" x14ac:dyDescent="0.3">
      <c r="C177" s="1152" t="s">
        <v>1190</v>
      </c>
      <c r="E177" s="377" t="s">
        <v>1157</v>
      </c>
      <c r="F177" s="505" t="s">
        <v>1191</v>
      </c>
      <c r="G177" s="505" t="s">
        <v>1192</v>
      </c>
      <c r="H177" s="493" t="s">
        <v>1193</v>
      </c>
      <c r="I177" s="493" t="s">
        <v>1161</v>
      </c>
      <c r="J177" s="1165"/>
      <c r="K177" s="1165"/>
      <c r="L177" s="1165"/>
      <c r="M177" s="1165"/>
    </row>
    <row r="178" spans="3:13" ht="54.75" customHeight="1" x14ac:dyDescent="0.3">
      <c r="C178" s="1169"/>
      <c r="E178" s="506"/>
      <c r="F178" s="507"/>
      <c r="G178" s="507"/>
      <c r="H178" s="508"/>
      <c r="I178" s="508" t="s">
        <v>1194</v>
      </c>
      <c r="J178" s="1165"/>
      <c r="K178" s="1165"/>
      <c r="L178" s="1165"/>
      <c r="M178" s="1165"/>
    </row>
    <row r="179" spans="3:13" ht="57.75" customHeight="1" x14ac:dyDescent="0.3">
      <c r="C179" s="1169"/>
      <c r="E179" s="509" t="s">
        <v>1157</v>
      </c>
      <c r="F179" s="510" t="s">
        <v>1195</v>
      </c>
      <c r="G179" s="510" t="s">
        <v>1196</v>
      </c>
      <c r="H179" s="496" t="s">
        <v>1197</v>
      </c>
      <c r="I179" s="511" t="s">
        <v>1198</v>
      </c>
      <c r="J179" s="1165"/>
      <c r="K179" s="1165"/>
      <c r="L179" s="1165"/>
      <c r="M179" s="1165"/>
    </row>
    <row r="180" spans="3:13" ht="39" customHeight="1" x14ac:dyDescent="0.3">
      <c r="C180" s="1169"/>
      <c r="E180" s="375"/>
      <c r="F180" s="507"/>
      <c r="G180" s="507"/>
      <c r="H180" s="508"/>
      <c r="I180" s="512" t="s">
        <v>1161</v>
      </c>
      <c r="J180" s="1165"/>
      <c r="K180" s="1165"/>
      <c r="L180" s="1165"/>
      <c r="M180" s="1165"/>
    </row>
    <row r="181" spans="3:13" ht="35.25" customHeight="1" x14ac:dyDescent="0.3">
      <c r="C181" s="1169"/>
      <c r="E181" s="377" t="s">
        <v>1157</v>
      </c>
      <c r="F181" s="505" t="s">
        <v>1195</v>
      </c>
      <c r="G181" s="505" t="s">
        <v>1199</v>
      </c>
      <c r="H181" s="493" t="s">
        <v>1200</v>
      </c>
      <c r="I181" s="493" t="s">
        <v>1201</v>
      </c>
      <c r="J181" s="1165"/>
      <c r="K181" s="1165"/>
      <c r="L181" s="1165"/>
      <c r="M181" s="1165"/>
    </row>
    <row r="182" spans="3:13" ht="54.75" customHeight="1" x14ac:dyDescent="0.3">
      <c r="C182" s="1169"/>
      <c r="E182" s="506"/>
      <c r="F182" s="507"/>
      <c r="G182" s="507"/>
      <c r="H182" s="508"/>
      <c r="I182" s="508" t="s">
        <v>1202</v>
      </c>
      <c r="J182" s="1165"/>
      <c r="K182" s="1165"/>
      <c r="L182" s="1165"/>
      <c r="M182" s="1165"/>
    </row>
    <row r="183" spans="3:13" ht="42.75" customHeight="1" x14ac:dyDescent="0.3">
      <c r="C183" s="1169"/>
      <c r="E183" s="377" t="s">
        <v>1157</v>
      </c>
      <c r="F183" s="505" t="s">
        <v>1203</v>
      </c>
      <c r="G183" s="510" t="s">
        <v>1204</v>
      </c>
      <c r="H183" s="493" t="s">
        <v>1200</v>
      </c>
      <c r="I183" s="496" t="s">
        <v>1201</v>
      </c>
      <c r="J183" s="1165"/>
      <c r="K183" s="1165"/>
      <c r="L183" s="1165"/>
      <c r="M183" s="1165"/>
    </row>
    <row r="184" spans="3:13" ht="42.75" customHeight="1" x14ac:dyDescent="0.3">
      <c r="C184" s="1169"/>
      <c r="E184" s="506"/>
      <c r="F184" s="507"/>
      <c r="G184" s="507"/>
      <c r="H184" s="508"/>
      <c r="I184" s="508" t="s">
        <v>1205</v>
      </c>
      <c r="J184" s="1166"/>
      <c r="K184" s="1166"/>
      <c r="L184" s="1166"/>
      <c r="M184" s="1166"/>
    </row>
    <row r="185" spans="3:13" ht="20.100000000000001" customHeight="1" thickBot="1" x14ac:dyDescent="0.35">
      <c r="C185" s="1169"/>
      <c r="E185" s="513"/>
      <c r="F185" s="514"/>
      <c r="G185" s="515"/>
      <c r="H185" s="516"/>
      <c r="I185" s="517"/>
      <c r="J185" s="518">
        <f>SUM(J158:J183)</f>
        <v>2161780</v>
      </c>
      <c r="K185" s="518">
        <v>239000</v>
      </c>
      <c r="L185" s="518">
        <f>SUM(L158:L183)</f>
        <v>20000</v>
      </c>
      <c r="M185" s="518">
        <f>SUM(M158:M183)</f>
        <v>2491780</v>
      </c>
    </row>
    <row r="186" spans="3:13" ht="14.45" customHeight="1" thickTop="1" x14ac:dyDescent="0.3">
      <c r="C186" s="1169"/>
      <c r="E186" s="385"/>
      <c r="F186" s="385"/>
      <c r="G186" s="385"/>
      <c r="H186" s="385"/>
      <c r="I186" s="385"/>
      <c r="J186" s="414"/>
      <c r="K186" s="414"/>
      <c r="L186" s="414"/>
      <c r="M186" s="414"/>
    </row>
    <row r="187" spans="3:13" ht="14.45" customHeight="1" x14ac:dyDescent="0.3">
      <c r="C187" s="1169"/>
      <c r="E187" s="385" t="s">
        <v>1066</v>
      </c>
      <c r="F187" s="385"/>
      <c r="G187" s="389" t="s">
        <v>1067</v>
      </c>
      <c r="J187" s="389"/>
      <c r="K187" s="389"/>
      <c r="L187" s="390"/>
      <c r="M187" s="390"/>
    </row>
    <row r="188" spans="3:13" ht="14.45" customHeight="1" x14ac:dyDescent="0.3">
      <c r="C188" s="1169"/>
      <c r="E188" s="385"/>
      <c r="F188" s="385"/>
      <c r="G188" s="385"/>
      <c r="J188" s="385"/>
      <c r="K188" s="385"/>
      <c r="L188" s="385"/>
      <c r="M188" s="385"/>
    </row>
    <row r="189" spans="3:13" ht="14.45" customHeight="1" x14ac:dyDescent="0.3">
      <c r="C189" s="1169"/>
      <c r="E189" s="1175" t="s">
        <v>17</v>
      </c>
      <c r="F189" s="1175"/>
      <c r="G189" s="1148" t="s">
        <v>260</v>
      </c>
      <c r="H189" s="1148"/>
      <c r="I189" s="1153" t="s">
        <v>17</v>
      </c>
      <c r="J189" s="1153"/>
      <c r="L189" s="1148" t="s">
        <v>91</v>
      </c>
      <c r="M189" s="1148"/>
    </row>
    <row r="190" spans="3:13" ht="14.45" customHeight="1" x14ac:dyDescent="0.3">
      <c r="C190" s="1169"/>
      <c r="E190" s="1176" t="s">
        <v>18</v>
      </c>
      <c r="F190" s="1176"/>
      <c r="G190" s="1149" t="s">
        <v>13</v>
      </c>
      <c r="H190" s="1149"/>
      <c r="I190" s="1154" t="s">
        <v>18</v>
      </c>
      <c r="J190" s="1154"/>
      <c r="L190" s="1149" t="s">
        <v>1021</v>
      </c>
      <c r="M190" s="1149"/>
    </row>
    <row r="191" spans="3:13" ht="14.45" customHeight="1" x14ac:dyDescent="0.3">
      <c r="C191" s="1169"/>
      <c r="E191" s="391" t="s">
        <v>264</v>
      </c>
      <c r="F191" s="391"/>
      <c r="G191" s="391"/>
      <c r="H191" s="385"/>
      <c r="I191" s="385"/>
      <c r="J191" s="385"/>
      <c r="K191" s="392"/>
      <c r="L191" s="385"/>
      <c r="M191" s="385"/>
    </row>
    <row r="192" spans="3:13" ht="14.45" customHeight="1" x14ac:dyDescent="0.3">
      <c r="C192" s="1169"/>
      <c r="E192" s="393"/>
      <c r="F192" s="393"/>
      <c r="G192" s="393"/>
      <c r="H192" s="385"/>
      <c r="I192" s="385"/>
      <c r="J192" s="385"/>
      <c r="K192" s="394"/>
      <c r="L192" s="385"/>
      <c r="M192" s="385"/>
    </row>
    <row r="193" spans="1:13" ht="14.45" customHeight="1" x14ac:dyDescent="0.3">
      <c r="C193" s="1169"/>
      <c r="E193" s="1148" t="s">
        <v>1495</v>
      </c>
      <c r="F193" s="1148"/>
      <c r="G193" s="395"/>
      <c r="H193" s="395"/>
      <c r="I193" s="395"/>
      <c r="J193" s="396"/>
      <c r="K193" s="396"/>
      <c r="L193" s="397"/>
      <c r="M193" s="393"/>
    </row>
    <row r="194" spans="1:13" ht="15.95" customHeight="1" x14ac:dyDescent="0.3">
      <c r="C194" s="1169"/>
      <c r="E194" s="1149" t="s">
        <v>14</v>
      </c>
      <c r="F194" s="1149"/>
      <c r="G194" s="398"/>
      <c r="H194" s="398"/>
      <c r="I194" s="398"/>
      <c r="J194" s="399"/>
      <c r="K194" s="396"/>
      <c r="L194" s="397"/>
      <c r="M194" s="393"/>
    </row>
    <row r="195" spans="1:13" ht="15.95" customHeight="1" x14ac:dyDescent="0.3">
      <c r="E195" s="519"/>
      <c r="F195" s="519"/>
      <c r="G195" s="398"/>
      <c r="H195" s="398"/>
      <c r="I195" s="398"/>
      <c r="J195" s="399"/>
      <c r="K195" s="396"/>
      <c r="L195" s="397"/>
      <c r="M195" s="393"/>
    </row>
    <row r="196" spans="1:13" ht="15.95" customHeight="1" x14ac:dyDescent="0.3">
      <c r="E196" s="519"/>
      <c r="F196" s="519"/>
      <c r="G196" s="398"/>
      <c r="H196" s="398"/>
      <c r="I196" s="398"/>
      <c r="J196" s="399"/>
      <c r="K196" s="396"/>
      <c r="L196" s="397"/>
      <c r="M196" s="393"/>
    </row>
    <row r="197" spans="1:13" ht="15.95" customHeight="1" x14ac:dyDescent="0.3">
      <c r="E197" s="519"/>
      <c r="F197" s="519"/>
      <c r="G197" s="398"/>
      <c r="H197" s="398"/>
      <c r="I197" s="398"/>
      <c r="J197" s="399"/>
      <c r="K197" s="396"/>
      <c r="L197" s="397"/>
      <c r="M197" s="393"/>
    </row>
    <row r="198" spans="1:13" ht="15.95" customHeight="1" x14ac:dyDescent="0.3">
      <c r="E198" s="519"/>
      <c r="F198" s="519"/>
      <c r="G198" s="398"/>
      <c r="H198" s="398"/>
      <c r="I198" s="398"/>
      <c r="J198" s="399"/>
      <c r="K198" s="396"/>
      <c r="L198" s="397"/>
      <c r="M198" s="393"/>
    </row>
    <row r="199" spans="1:13" s="520" customFormat="1" ht="15.95" customHeight="1" x14ac:dyDescent="0.25">
      <c r="A199" s="416"/>
    </row>
    <row r="200" spans="1:13" s="520" customFormat="1" ht="15.95" customHeight="1" x14ac:dyDescent="0.25">
      <c r="A200" s="416"/>
    </row>
    <row r="201" spans="1:13" s="520" customFormat="1" ht="15.95" customHeight="1" x14ac:dyDescent="0.25">
      <c r="A201" s="416"/>
    </row>
    <row r="202" spans="1:13" s="520" customFormat="1" ht="15.95" customHeight="1" x14ac:dyDescent="0.25">
      <c r="A202" s="416"/>
    </row>
    <row r="203" spans="1:13" s="520" customFormat="1" ht="15.95" customHeight="1" x14ac:dyDescent="0.25">
      <c r="A203" s="416"/>
    </row>
    <row r="204" spans="1:13" s="520" customFormat="1" ht="15.95" customHeight="1" x14ac:dyDescent="0.25">
      <c r="A204" s="416"/>
    </row>
    <row r="205" spans="1:13" s="520" customFormat="1" ht="15.95" customHeight="1" x14ac:dyDescent="0.25">
      <c r="A205" s="416"/>
    </row>
    <row r="206" spans="1:13" s="520" customFormat="1" ht="15.95" customHeight="1" x14ac:dyDescent="0.25">
      <c r="A206" s="416"/>
    </row>
    <row r="207" spans="1:13" ht="14.45" customHeight="1" x14ac:dyDescent="0.3">
      <c r="C207" s="1152" t="s">
        <v>1206</v>
      </c>
      <c r="D207" s="385"/>
      <c r="F207" s="1155" t="s">
        <v>1601</v>
      </c>
      <c r="G207" s="1155"/>
      <c r="H207" s="1155"/>
      <c r="I207" s="1155"/>
      <c r="J207" s="1155"/>
      <c r="K207" s="1155"/>
      <c r="L207" s="1155"/>
      <c r="M207" s="360"/>
    </row>
    <row r="208" spans="1:13" ht="14.45" customHeight="1" x14ac:dyDescent="0.3">
      <c r="C208" s="1169"/>
      <c r="E208" s="1156" t="s">
        <v>182</v>
      </c>
      <c r="F208" s="1156"/>
      <c r="G208" s="1156"/>
      <c r="H208" s="1156"/>
      <c r="I208" s="1156"/>
      <c r="J208" s="1156"/>
      <c r="K208" s="1156"/>
      <c r="L208" s="1156"/>
      <c r="M208" s="1156"/>
    </row>
    <row r="209" spans="3:13" ht="14.45" customHeight="1" x14ac:dyDescent="0.3">
      <c r="C209" s="1169"/>
      <c r="E209" s="358" t="s">
        <v>1027</v>
      </c>
      <c r="F209" s="362" t="s">
        <v>1207</v>
      </c>
    </row>
    <row r="210" spans="3:13" ht="14.45" customHeight="1" x14ac:dyDescent="0.3">
      <c r="C210" s="1169"/>
      <c r="E210" s="358" t="s">
        <v>1029</v>
      </c>
      <c r="F210" s="363" t="s">
        <v>1208</v>
      </c>
    </row>
    <row r="211" spans="3:13" ht="14.45" customHeight="1" x14ac:dyDescent="0.3">
      <c r="C211" s="1169"/>
      <c r="E211" s="358" t="s">
        <v>1031</v>
      </c>
      <c r="F211" s="1147" t="s">
        <v>1522</v>
      </c>
      <c r="G211" s="1147"/>
      <c r="H211" s="1147"/>
      <c r="I211" s="1147"/>
      <c r="J211" s="1147"/>
      <c r="K211" s="1147"/>
      <c r="L211" s="1147"/>
      <c r="M211" s="1147"/>
    </row>
    <row r="212" spans="3:13" ht="14.45" customHeight="1" x14ac:dyDescent="0.3">
      <c r="C212" s="1169"/>
      <c r="E212" s="358" t="s">
        <v>1033</v>
      </c>
      <c r="F212" s="1147" t="s">
        <v>1209</v>
      </c>
      <c r="G212" s="1147"/>
      <c r="H212" s="1147"/>
      <c r="I212" s="1147"/>
      <c r="J212" s="1147"/>
      <c r="K212" s="1147"/>
      <c r="L212" s="1147"/>
      <c r="M212" s="1147"/>
    </row>
    <row r="213" spans="3:13" ht="30" customHeight="1" x14ac:dyDescent="0.3">
      <c r="C213" s="1169"/>
      <c r="E213" s="1229" t="s">
        <v>1210</v>
      </c>
      <c r="F213" s="1229"/>
      <c r="G213" s="1229"/>
      <c r="H213" s="1229"/>
      <c r="I213" s="1229"/>
      <c r="J213" s="1229"/>
      <c r="K213" s="1229"/>
      <c r="L213" s="1229"/>
      <c r="M213" s="1229"/>
    </row>
    <row r="214" spans="3:13" ht="14.45" customHeight="1" x14ac:dyDescent="0.3">
      <c r="C214" s="1169"/>
      <c r="E214" s="1158" t="s">
        <v>1036</v>
      </c>
      <c r="F214" s="367" t="s">
        <v>648</v>
      </c>
      <c r="G214" s="1160" t="s">
        <v>650</v>
      </c>
      <c r="H214" s="367" t="s">
        <v>651</v>
      </c>
      <c r="I214" s="1158" t="s">
        <v>1037</v>
      </c>
      <c r="J214" s="1162" t="s">
        <v>1602</v>
      </c>
      <c r="K214" s="1162"/>
      <c r="L214" s="1162"/>
      <c r="M214" s="1163"/>
    </row>
    <row r="215" spans="3:13" ht="14.45" customHeight="1" x14ac:dyDescent="0.3">
      <c r="C215" s="1169"/>
      <c r="E215" s="1178"/>
      <c r="F215" s="368" t="s">
        <v>649</v>
      </c>
      <c r="G215" s="1179"/>
      <c r="H215" s="368" t="s">
        <v>652</v>
      </c>
      <c r="I215" s="1178"/>
      <c r="J215" s="521" t="s">
        <v>283</v>
      </c>
      <c r="K215" s="522" t="s">
        <v>284</v>
      </c>
      <c r="L215" s="367" t="s">
        <v>285</v>
      </c>
      <c r="M215" s="523" t="s">
        <v>15</v>
      </c>
    </row>
    <row r="216" spans="3:13" ht="14.45" customHeight="1" x14ac:dyDescent="0.3">
      <c r="C216" s="1169"/>
      <c r="E216" s="373" t="s">
        <v>1211</v>
      </c>
      <c r="F216" s="1170" t="s">
        <v>1212</v>
      </c>
      <c r="G216" s="1172" t="s">
        <v>1213</v>
      </c>
      <c r="H216" s="1172" t="s">
        <v>1214</v>
      </c>
      <c r="I216" s="1230" t="s">
        <v>1609</v>
      </c>
      <c r="J216" s="1221">
        <f>'[1]LBP NO. 2'!M377</f>
        <v>2617436</v>
      </c>
      <c r="K216" s="1164">
        <f>'[1]LBP NO. 2'!M385</f>
        <v>499245</v>
      </c>
      <c r="L216" s="1164">
        <f>'[1]LBP NO. 2'!M391</f>
        <v>105500</v>
      </c>
      <c r="M216" s="1164">
        <f>SUM(J216:L232)</f>
        <v>3222181</v>
      </c>
    </row>
    <row r="217" spans="3:13" ht="14.45" customHeight="1" x14ac:dyDescent="0.3">
      <c r="C217" s="1169"/>
      <c r="E217" s="401"/>
      <c r="F217" s="1171"/>
      <c r="G217" s="1168"/>
      <c r="H217" s="1168"/>
      <c r="I217" s="1231"/>
      <c r="J217" s="1222"/>
      <c r="K217" s="1165"/>
      <c r="L217" s="1165"/>
      <c r="M217" s="1165"/>
    </row>
    <row r="218" spans="3:13" ht="14.45" customHeight="1" x14ac:dyDescent="0.3">
      <c r="C218" s="1169"/>
      <c r="E218" s="401"/>
      <c r="F218" s="1171"/>
      <c r="G218" s="1168"/>
      <c r="H218" s="1168"/>
      <c r="I218" s="1231"/>
      <c r="J218" s="1222"/>
      <c r="K218" s="1165"/>
      <c r="L218" s="1165"/>
      <c r="M218" s="1165"/>
    </row>
    <row r="219" spans="3:13" ht="14.45" customHeight="1" x14ac:dyDescent="0.3">
      <c r="C219" s="1169"/>
      <c r="E219" s="375"/>
      <c r="F219" s="1213"/>
      <c r="G219" s="1217"/>
      <c r="H219" s="1217"/>
      <c r="I219" s="1232"/>
      <c r="J219" s="1222"/>
      <c r="K219" s="1165"/>
      <c r="L219" s="1165"/>
      <c r="M219" s="1165"/>
    </row>
    <row r="220" spans="3:13" ht="14.45" customHeight="1" x14ac:dyDescent="0.3">
      <c r="C220" s="1169"/>
      <c r="E220" s="373" t="s">
        <v>1211</v>
      </c>
      <c r="F220" s="1170" t="s">
        <v>1215</v>
      </c>
      <c r="G220" s="1172" t="s">
        <v>1216</v>
      </c>
      <c r="H220" s="1172" t="s">
        <v>1217</v>
      </c>
      <c r="I220" s="1230" t="s">
        <v>1218</v>
      </c>
      <c r="J220" s="1222"/>
      <c r="K220" s="1165"/>
      <c r="L220" s="1165"/>
      <c r="M220" s="1165"/>
    </row>
    <row r="221" spans="3:13" ht="14.45" customHeight="1" x14ac:dyDescent="0.3">
      <c r="C221" s="1169"/>
      <c r="E221" s="374"/>
      <c r="F221" s="1171"/>
      <c r="G221" s="1168"/>
      <c r="H221" s="1168"/>
      <c r="I221" s="1231"/>
      <c r="J221" s="1222"/>
      <c r="K221" s="1165"/>
      <c r="L221" s="1165"/>
      <c r="M221" s="1165"/>
    </row>
    <row r="222" spans="3:13" ht="14.45" customHeight="1" x14ac:dyDescent="0.3">
      <c r="C222" s="1169"/>
      <c r="E222" s="374"/>
      <c r="F222" s="1171"/>
      <c r="G222" s="1168"/>
      <c r="H222" s="1168"/>
      <c r="I222" s="1231"/>
      <c r="J222" s="1222"/>
      <c r="K222" s="1165"/>
      <c r="L222" s="1165"/>
      <c r="M222" s="1165"/>
    </row>
    <row r="223" spans="3:13" ht="45" customHeight="1" x14ac:dyDescent="0.3">
      <c r="C223" s="1169"/>
      <c r="E223" s="421"/>
      <c r="F223" s="1213"/>
      <c r="G223" s="1217"/>
      <c r="H223" s="1217"/>
      <c r="I223" s="1232"/>
      <c r="J223" s="1222"/>
      <c r="K223" s="1165"/>
      <c r="L223" s="1165"/>
      <c r="M223" s="1165"/>
    </row>
    <row r="224" spans="3:13" ht="14.45" customHeight="1" x14ac:dyDescent="0.3">
      <c r="C224" s="1169"/>
      <c r="E224" s="373" t="s">
        <v>1211</v>
      </c>
      <c r="F224" s="1170" t="s">
        <v>1219</v>
      </c>
      <c r="G224" s="1172" t="s">
        <v>1220</v>
      </c>
      <c r="H224" s="1170" t="s">
        <v>1221</v>
      </c>
      <c r="I224" s="1230" t="s">
        <v>1222</v>
      </c>
      <c r="J224" s="1222"/>
      <c r="K224" s="1165"/>
      <c r="L224" s="1165"/>
      <c r="M224" s="1165"/>
    </row>
    <row r="225" spans="3:13" ht="14.45" customHeight="1" x14ac:dyDescent="0.3">
      <c r="C225" s="1169"/>
      <c r="E225" s="374"/>
      <c r="F225" s="1171"/>
      <c r="G225" s="1168"/>
      <c r="H225" s="1171"/>
      <c r="I225" s="1231"/>
      <c r="J225" s="1222"/>
      <c r="K225" s="1165"/>
      <c r="L225" s="1165"/>
      <c r="M225" s="1165"/>
    </row>
    <row r="226" spans="3:13" ht="34.5" customHeight="1" x14ac:dyDescent="0.3">
      <c r="C226" s="1169"/>
      <c r="E226" s="421"/>
      <c r="F226" s="1213"/>
      <c r="G226" s="1217"/>
      <c r="H226" s="1213"/>
      <c r="I226" s="1232"/>
      <c r="J226" s="1222"/>
      <c r="K226" s="1165"/>
      <c r="L226" s="1165"/>
      <c r="M226" s="1165"/>
    </row>
    <row r="227" spans="3:13" ht="14.45" customHeight="1" x14ac:dyDescent="0.3">
      <c r="C227" s="1169"/>
      <c r="E227" s="373" t="s">
        <v>1211</v>
      </c>
      <c r="F227" s="1170" t="s">
        <v>1223</v>
      </c>
      <c r="G227" s="1172" t="s">
        <v>1224</v>
      </c>
      <c r="H227" s="1172" t="s">
        <v>1225</v>
      </c>
      <c r="I227" s="1172" t="s">
        <v>1609</v>
      </c>
      <c r="J227" s="1222"/>
      <c r="K227" s="1165"/>
      <c r="L227" s="1165"/>
      <c r="M227" s="1165"/>
    </row>
    <row r="228" spans="3:13" ht="45.75" customHeight="1" x14ac:dyDescent="0.3">
      <c r="C228" s="1169"/>
      <c r="E228" s="524"/>
      <c r="F228" s="1213"/>
      <c r="G228" s="1217"/>
      <c r="H228" s="1217"/>
      <c r="I228" s="1217"/>
      <c r="J228" s="1222"/>
      <c r="K228" s="1165"/>
      <c r="L228" s="1165"/>
      <c r="M228" s="1165"/>
    </row>
    <row r="229" spans="3:13" ht="14.45" customHeight="1" x14ac:dyDescent="0.3">
      <c r="C229" s="1169"/>
      <c r="E229" s="373" t="s">
        <v>1211</v>
      </c>
      <c r="F229" s="1218" t="s">
        <v>1091</v>
      </c>
      <c r="G229" s="1218" t="s">
        <v>1092</v>
      </c>
      <c r="H229" s="1218" t="s">
        <v>1093</v>
      </c>
      <c r="I229" s="1218" t="s">
        <v>1094</v>
      </c>
      <c r="J229" s="1222"/>
      <c r="K229" s="1165"/>
      <c r="L229" s="1165"/>
      <c r="M229" s="1165"/>
    </row>
    <row r="230" spans="3:13" ht="14.45" customHeight="1" x14ac:dyDescent="0.3">
      <c r="C230" s="1169"/>
      <c r="E230" s="401"/>
      <c r="F230" s="1219"/>
      <c r="G230" s="1219"/>
      <c r="H230" s="1219"/>
      <c r="I230" s="1219"/>
      <c r="J230" s="1222"/>
      <c r="K230" s="1165"/>
      <c r="L230" s="1165"/>
      <c r="M230" s="1165"/>
    </row>
    <row r="231" spans="3:13" ht="14.45" customHeight="1" x14ac:dyDescent="0.3">
      <c r="C231" s="1169"/>
      <c r="E231" s="374"/>
      <c r="F231" s="1219"/>
      <c r="G231" s="1219"/>
      <c r="H231" s="1219"/>
      <c r="I231" s="1219"/>
      <c r="J231" s="1222"/>
      <c r="K231" s="1165"/>
      <c r="L231" s="1165"/>
      <c r="M231" s="1165"/>
    </row>
    <row r="232" spans="3:13" ht="14.45" customHeight="1" x14ac:dyDescent="0.3">
      <c r="C232" s="1169"/>
      <c r="E232" s="421"/>
      <c r="F232" s="1227"/>
      <c r="G232" s="1227"/>
      <c r="H232" s="1227"/>
      <c r="I232" s="1227"/>
      <c r="J232" s="1223"/>
      <c r="K232" s="1166"/>
      <c r="L232" s="1166"/>
      <c r="M232" s="1166"/>
    </row>
    <row r="233" spans="3:13" ht="14.45" customHeight="1" x14ac:dyDescent="0.3">
      <c r="C233" s="1169"/>
      <c r="E233" s="385"/>
      <c r="F233" s="385"/>
      <c r="G233" s="385"/>
      <c r="H233" s="385"/>
      <c r="I233" s="385"/>
      <c r="J233" s="414"/>
      <c r="K233" s="414"/>
      <c r="L233" s="414"/>
      <c r="M233" s="414"/>
    </row>
    <row r="234" spans="3:13" ht="14.45" customHeight="1" x14ac:dyDescent="0.3">
      <c r="C234" s="1169"/>
      <c r="E234" s="385" t="s">
        <v>1066</v>
      </c>
      <c r="F234" s="385"/>
      <c r="G234" s="389" t="s">
        <v>1067</v>
      </c>
      <c r="J234" s="389"/>
      <c r="K234" s="389"/>
      <c r="L234" s="390"/>
      <c r="M234" s="390"/>
    </row>
    <row r="235" spans="3:13" ht="14.45" customHeight="1" x14ac:dyDescent="0.3">
      <c r="C235" s="1169"/>
      <c r="E235" s="385"/>
      <c r="F235" s="385"/>
      <c r="G235" s="385"/>
      <c r="H235" s="385"/>
      <c r="J235" s="385"/>
      <c r="K235" s="385"/>
      <c r="L235" s="385"/>
      <c r="M235" s="385"/>
    </row>
    <row r="236" spans="3:13" ht="14.45" customHeight="1" x14ac:dyDescent="0.3">
      <c r="C236" s="1169"/>
      <c r="E236" s="1175" t="s">
        <v>809</v>
      </c>
      <c r="F236" s="1175"/>
      <c r="G236" s="1148" t="s">
        <v>260</v>
      </c>
      <c r="H236" s="1148"/>
      <c r="I236" s="1153" t="s">
        <v>17</v>
      </c>
      <c r="J236" s="1153"/>
      <c r="L236" s="1148" t="s">
        <v>91</v>
      </c>
      <c r="M236" s="1148"/>
    </row>
    <row r="237" spans="3:13" ht="14.45" customHeight="1" x14ac:dyDescent="0.3">
      <c r="C237" s="1169"/>
      <c r="E237" s="1176" t="s">
        <v>248</v>
      </c>
      <c r="F237" s="1176"/>
      <c r="G237" s="1149" t="s">
        <v>13</v>
      </c>
      <c r="H237" s="1149"/>
      <c r="I237" s="1154" t="s">
        <v>18</v>
      </c>
      <c r="J237" s="1154"/>
      <c r="L237" s="1149" t="s">
        <v>1021</v>
      </c>
      <c r="M237" s="1149"/>
    </row>
    <row r="238" spans="3:13" ht="14.45" customHeight="1" x14ac:dyDescent="0.3">
      <c r="C238" s="1169"/>
      <c r="E238" s="391" t="s">
        <v>264</v>
      </c>
      <c r="F238" s="391"/>
      <c r="G238" s="391"/>
      <c r="H238" s="385"/>
      <c r="I238" s="385"/>
      <c r="J238" s="385"/>
      <c r="K238" s="392"/>
      <c r="L238" s="385"/>
      <c r="M238" s="385"/>
    </row>
    <row r="239" spans="3:13" ht="14.45" customHeight="1" x14ac:dyDescent="0.3">
      <c r="C239" s="1169"/>
      <c r="E239" s="393"/>
      <c r="F239" s="393"/>
      <c r="G239" s="393"/>
      <c r="H239" s="385"/>
      <c r="I239" s="385"/>
      <c r="J239" s="385"/>
      <c r="K239" s="394"/>
      <c r="L239" s="385"/>
      <c r="M239" s="385"/>
    </row>
    <row r="240" spans="3:13" ht="14.45" customHeight="1" x14ac:dyDescent="0.3">
      <c r="C240" s="1169"/>
      <c r="E240" s="1148" t="s">
        <v>1495</v>
      </c>
      <c r="F240" s="1148"/>
      <c r="G240" s="395"/>
      <c r="H240" s="395"/>
      <c r="I240" s="395"/>
      <c r="J240" s="396"/>
      <c r="K240" s="396"/>
      <c r="L240" s="397"/>
      <c r="M240" s="393"/>
    </row>
    <row r="241" spans="3:13" ht="14.45" customHeight="1" x14ac:dyDescent="0.3">
      <c r="C241" s="1169"/>
      <c r="E241" s="1149" t="s">
        <v>14</v>
      </c>
      <c r="F241" s="1149"/>
    </row>
    <row r="242" spans="3:13" ht="14.45" customHeight="1" x14ac:dyDescent="0.3">
      <c r="E242" s="519"/>
      <c r="F242" s="519"/>
    </row>
    <row r="243" spans="3:13" ht="14.45" customHeight="1" x14ac:dyDescent="0.3">
      <c r="E243" s="519"/>
      <c r="F243" s="519"/>
    </row>
    <row r="244" spans="3:13" ht="14.45" customHeight="1" x14ac:dyDescent="0.3">
      <c r="E244" s="519"/>
      <c r="F244" s="519"/>
    </row>
    <row r="245" spans="3:13" ht="14.45" customHeight="1" x14ac:dyDescent="0.3">
      <c r="E245" s="519"/>
      <c r="F245" s="519"/>
    </row>
    <row r="246" spans="3:13" ht="14.45" customHeight="1" x14ac:dyDescent="0.3">
      <c r="E246" s="519"/>
      <c r="F246" s="519"/>
    </row>
    <row r="247" spans="3:13" ht="14.45" customHeight="1" x14ac:dyDescent="0.3">
      <c r="E247" s="519"/>
      <c r="F247" s="519"/>
    </row>
    <row r="249" spans="3:13" ht="15.95" customHeight="1" x14ac:dyDescent="0.3"/>
    <row r="250" spans="3:13" ht="14.45" customHeight="1" x14ac:dyDescent="0.3">
      <c r="C250" s="1152" t="s">
        <v>1226</v>
      </c>
      <c r="D250" s="385"/>
      <c r="F250" s="1155" t="s">
        <v>1601</v>
      </c>
      <c r="G250" s="1155"/>
      <c r="H250" s="1155"/>
      <c r="I250" s="1155"/>
      <c r="J250" s="1155"/>
      <c r="K250" s="1155"/>
      <c r="L250" s="1155"/>
      <c r="M250" s="360"/>
    </row>
    <row r="251" spans="3:13" ht="14.45" customHeight="1" x14ac:dyDescent="0.3">
      <c r="C251" s="1169"/>
      <c r="E251" s="1156" t="s">
        <v>182</v>
      </c>
      <c r="F251" s="1156"/>
      <c r="G251" s="1156"/>
      <c r="H251" s="1156"/>
      <c r="I251" s="1156"/>
      <c r="J251" s="1156"/>
      <c r="K251" s="1156"/>
      <c r="L251" s="1156"/>
      <c r="M251" s="1156"/>
    </row>
    <row r="252" spans="3:13" ht="14.45" customHeight="1" x14ac:dyDescent="0.3">
      <c r="C252" s="1169"/>
      <c r="E252" s="358" t="s">
        <v>1027</v>
      </c>
      <c r="F252" s="362" t="s">
        <v>1227</v>
      </c>
    </row>
    <row r="253" spans="3:13" ht="14.45" customHeight="1" x14ac:dyDescent="0.3">
      <c r="C253" s="1169"/>
      <c r="E253" s="358" t="s">
        <v>1029</v>
      </c>
      <c r="F253" s="363" t="s">
        <v>1228</v>
      </c>
    </row>
    <row r="254" spans="3:13" ht="14.45" customHeight="1" x14ac:dyDescent="0.3">
      <c r="C254" s="1169"/>
      <c r="E254" s="358" t="s">
        <v>1031</v>
      </c>
      <c r="F254" s="1177" t="s">
        <v>1229</v>
      </c>
      <c r="G254" s="1177"/>
      <c r="H254" s="1177"/>
      <c r="I254" s="1177"/>
      <c r="J254" s="1177"/>
      <c r="K254" s="1177"/>
      <c r="L254" s="1177"/>
      <c r="M254" s="1177"/>
    </row>
    <row r="255" spans="3:13" ht="16.5" customHeight="1" x14ac:dyDescent="0.3">
      <c r="C255" s="1169"/>
      <c r="F255" s="1177"/>
      <c r="G255" s="1177"/>
      <c r="H255" s="1177"/>
      <c r="I255" s="1177"/>
      <c r="J255" s="1177"/>
      <c r="K255" s="1177"/>
      <c r="L255" s="1177"/>
      <c r="M255" s="1177"/>
    </row>
    <row r="256" spans="3:13" ht="14.45" customHeight="1" x14ac:dyDescent="0.3">
      <c r="C256" s="1169"/>
      <c r="E256" s="358" t="s">
        <v>1033</v>
      </c>
      <c r="F256" s="1147" t="s">
        <v>1230</v>
      </c>
      <c r="G256" s="1147"/>
      <c r="H256" s="1147"/>
      <c r="I256" s="1147"/>
      <c r="J256" s="1147"/>
      <c r="K256" s="1147"/>
      <c r="L256" s="1147"/>
      <c r="M256" s="1147"/>
    </row>
    <row r="257" spans="3:13" ht="18.75" customHeight="1" x14ac:dyDescent="0.3">
      <c r="C257" s="1169"/>
      <c r="F257" s="1147"/>
      <c r="G257" s="1147"/>
      <c r="H257" s="1147"/>
      <c r="I257" s="1147"/>
      <c r="J257" s="1147"/>
      <c r="K257" s="1147"/>
      <c r="L257" s="1147"/>
      <c r="M257" s="1147"/>
    </row>
    <row r="258" spans="3:13" ht="14.45" customHeight="1" x14ac:dyDescent="0.3">
      <c r="C258" s="1169"/>
      <c r="E258" s="366" t="s">
        <v>1231</v>
      </c>
      <c r="F258" s="366"/>
      <c r="G258" s="366"/>
      <c r="H258" s="366"/>
      <c r="I258" s="366"/>
      <c r="J258" s="366"/>
      <c r="K258" s="366"/>
      <c r="L258" s="366"/>
      <c r="M258" s="366"/>
    </row>
    <row r="259" spans="3:13" ht="14.45" customHeight="1" x14ac:dyDescent="0.3">
      <c r="C259" s="1169"/>
      <c r="E259" s="1158" t="s">
        <v>1036</v>
      </c>
      <c r="F259" s="367" t="s">
        <v>648</v>
      </c>
      <c r="G259" s="1160" t="s">
        <v>650</v>
      </c>
      <c r="H259" s="367" t="s">
        <v>651</v>
      </c>
      <c r="I259" s="1158" t="s">
        <v>1037</v>
      </c>
      <c r="J259" s="1162" t="s">
        <v>1602</v>
      </c>
      <c r="K259" s="1162"/>
      <c r="L259" s="1162"/>
      <c r="M259" s="1163"/>
    </row>
    <row r="260" spans="3:13" ht="14.45" customHeight="1" x14ac:dyDescent="0.3">
      <c r="C260" s="1169"/>
      <c r="E260" s="1178"/>
      <c r="F260" s="368" t="s">
        <v>649</v>
      </c>
      <c r="G260" s="1179"/>
      <c r="H260" s="368" t="s">
        <v>652</v>
      </c>
      <c r="I260" s="1178"/>
      <c r="J260" s="369" t="s">
        <v>283</v>
      </c>
      <c r="K260" s="370" t="s">
        <v>284</v>
      </c>
      <c r="L260" s="371" t="s">
        <v>285</v>
      </c>
      <c r="M260" s="372" t="s">
        <v>15</v>
      </c>
    </row>
    <row r="261" spans="3:13" ht="14.45" customHeight="1" x14ac:dyDescent="0.3">
      <c r="C261" s="1169"/>
      <c r="E261" s="373" t="s">
        <v>1232</v>
      </c>
      <c r="F261" s="1170" t="s">
        <v>1233</v>
      </c>
      <c r="G261" s="1172" t="s">
        <v>1515</v>
      </c>
      <c r="H261" s="1172" t="s">
        <v>1519</v>
      </c>
      <c r="I261" s="1172" t="s">
        <v>1609</v>
      </c>
      <c r="J261" s="1221">
        <f>'[1]LBP NO. 2'!M446</f>
        <v>4572309</v>
      </c>
      <c r="K261" s="1164">
        <f>'[1]LBP NO. 2'!M457</f>
        <v>904000</v>
      </c>
      <c r="L261" s="1164">
        <f>'[1]LBP NO. 2'!M463</f>
        <v>160000</v>
      </c>
      <c r="M261" s="1164">
        <f>SUM(J261:L276)</f>
        <v>5636309</v>
      </c>
    </row>
    <row r="262" spans="3:13" ht="14.45" customHeight="1" x14ac:dyDescent="0.3">
      <c r="C262" s="1169"/>
      <c r="E262" s="401"/>
      <c r="F262" s="1171"/>
      <c r="G262" s="1168"/>
      <c r="H262" s="1168"/>
      <c r="I262" s="1168"/>
      <c r="J262" s="1222"/>
      <c r="K262" s="1165"/>
      <c r="L262" s="1165"/>
      <c r="M262" s="1165"/>
    </row>
    <row r="263" spans="3:13" ht="40.5" customHeight="1" x14ac:dyDescent="0.3">
      <c r="C263" s="1169"/>
      <c r="E263" s="421"/>
      <c r="F263" s="1213"/>
      <c r="G263" s="1217"/>
      <c r="H263" s="1217"/>
      <c r="I263" s="1217"/>
      <c r="J263" s="1222"/>
      <c r="K263" s="1165"/>
      <c r="L263" s="1165"/>
      <c r="M263" s="1165"/>
    </row>
    <row r="264" spans="3:13" ht="14.45" customHeight="1" x14ac:dyDescent="0.3">
      <c r="C264" s="1169"/>
      <c r="E264" s="373" t="s">
        <v>1232</v>
      </c>
      <c r="F264" s="1170" t="s">
        <v>1234</v>
      </c>
      <c r="G264" s="1172" t="s">
        <v>1516</v>
      </c>
      <c r="H264" s="1172" t="s">
        <v>1235</v>
      </c>
      <c r="I264" s="1172" t="s">
        <v>1236</v>
      </c>
      <c r="J264" s="1222"/>
      <c r="K264" s="1165"/>
      <c r="L264" s="1165"/>
      <c r="M264" s="1165"/>
    </row>
    <row r="265" spans="3:13" ht="14.45" customHeight="1" x14ac:dyDescent="0.3">
      <c r="C265" s="1169"/>
      <c r="E265" s="376"/>
      <c r="F265" s="1171"/>
      <c r="G265" s="1168"/>
      <c r="H265" s="1168"/>
      <c r="I265" s="1168"/>
      <c r="J265" s="1222"/>
      <c r="K265" s="1165"/>
      <c r="L265" s="1165"/>
      <c r="M265" s="1165"/>
    </row>
    <row r="266" spans="3:13" ht="58.5" customHeight="1" x14ac:dyDescent="0.3">
      <c r="C266" s="1169"/>
      <c r="E266" s="376"/>
      <c r="F266" s="1213"/>
      <c r="G266" s="1217"/>
      <c r="H266" s="1217"/>
      <c r="I266" s="1217"/>
      <c r="J266" s="1222"/>
      <c r="K266" s="1165"/>
      <c r="L266" s="1165"/>
      <c r="M266" s="1165"/>
    </row>
    <row r="267" spans="3:13" ht="14.45" customHeight="1" x14ac:dyDescent="0.3">
      <c r="C267" s="1169"/>
      <c r="E267" s="373" t="s">
        <v>1232</v>
      </c>
      <c r="F267" s="1170" t="s">
        <v>1237</v>
      </c>
      <c r="G267" s="1172" t="s">
        <v>1517</v>
      </c>
      <c r="H267" s="1172" t="s">
        <v>1238</v>
      </c>
      <c r="I267" s="1172" t="s">
        <v>1239</v>
      </c>
      <c r="J267" s="1222"/>
      <c r="K267" s="1165"/>
      <c r="L267" s="1165"/>
      <c r="M267" s="1165"/>
    </row>
    <row r="268" spans="3:13" ht="14.45" customHeight="1" x14ac:dyDescent="0.3">
      <c r="C268" s="1169"/>
      <c r="E268" s="401"/>
      <c r="F268" s="1171"/>
      <c r="G268" s="1168"/>
      <c r="H268" s="1168"/>
      <c r="I268" s="1168"/>
      <c r="J268" s="1222"/>
      <c r="K268" s="1165"/>
      <c r="L268" s="1165"/>
      <c r="M268" s="1165"/>
    </row>
    <row r="269" spans="3:13" ht="58.5" customHeight="1" x14ac:dyDescent="0.3">
      <c r="C269" s="1169"/>
      <c r="E269" s="375"/>
      <c r="F269" s="1213"/>
      <c r="G269" s="1217"/>
      <c r="H269" s="1217"/>
      <c r="I269" s="1217"/>
      <c r="J269" s="1222"/>
      <c r="K269" s="1165"/>
      <c r="L269" s="1165"/>
      <c r="M269" s="1165"/>
    </row>
    <row r="270" spans="3:13" ht="14.45" customHeight="1" x14ac:dyDescent="0.3">
      <c r="C270" s="1169"/>
      <c r="E270" s="373" t="s">
        <v>1232</v>
      </c>
      <c r="F270" s="1170" t="s">
        <v>1240</v>
      </c>
      <c r="G270" s="1172" t="s">
        <v>1518</v>
      </c>
      <c r="H270" s="1172" t="s">
        <v>1241</v>
      </c>
      <c r="I270" s="1172" t="s">
        <v>1242</v>
      </c>
      <c r="J270" s="1222"/>
      <c r="K270" s="1165"/>
      <c r="L270" s="1165"/>
      <c r="M270" s="1165"/>
    </row>
    <row r="271" spans="3:13" ht="14.45" customHeight="1" x14ac:dyDescent="0.3">
      <c r="C271" s="1169"/>
      <c r="E271" s="412"/>
      <c r="F271" s="1171"/>
      <c r="G271" s="1168"/>
      <c r="H271" s="1168"/>
      <c r="I271" s="1168"/>
      <c r="J271" s="1222"/>
      <c r="K271" s="1165"/>
      <c r="L271" s="1165"/>
      <c r="M271" s="1165"/>
    </row>
    <row r="272" spans="3:13" ht="39" customHeight="1" x14ac:dyDescent="0.3">
      <c r="C272" s="1169"/>
      <c r="E272" s="376"/>
      <c r="F272" s="1213"/>
      <c r="G272" s="1217"/>
      <c r="H272" s="1217"/>
      <c r="I272" s="1217"/>
      <c r="J272" s="1222"/>
      <c r="K272" s="1165"/>
      <c r="L272" s="1165"/>
      <c r="M272" s="1165"/>
    </row>
    <row r="273" spans="3:13" ht="14.45" customHeight="1" x14ac:dyDescent="0.3">
      <c r="C273" s="1169"/>
      <c r="E273" s="373" t="s">
        <v>1232</v>
      </c>
      <c r="F273" s="1218" t="s">
        <v>1091</v>
      </c>
      <c r="G273" s="1218" t="s">
        <v>1092</v>
      </c>
      <c r="H273" s="1218" t="s">
        <v>1093</v>
      </c>
      <c r="I273" s="1218" t="s">
        <v>1094</v>
      </c>
      <c r="J273" s="1222"/>
      <c r="K273" s="1165"/>
      <c r="L273" s="1165"/>
      <c r="M273" s="1165"/>
    </row>
    <row r="274" spans="3:13" ht="14.45" customHeight="1" x14ac:dyDescent="0.3">
      <c r="C274" s="1169"/>
      <c r="E274" s="401"/>
      <c r="F274" s="1219"/>
      <c r="G274" s="1219"/>
      <c r="H274" s="1219"/>
      <c r="I274" s="1219"/>
      <c r="J274" s="1222"/>
      <c r="K274" s="1165"/>
      <c r="L274" s="1165"/>
      <c r="M274" s="1165"/>
    </row>
    <row r="275" spans="3:13" ht="14.45" customHeight="1" x14ac:dyDescent="0.3">
      <c r="C275" s="1169"/>
      <c r="E275" s="374"/>
      <c r="F275" s="1219"/>
      <c r="G275" s="1219"/>
      <c r="H275" s="1219"/>
      <c r="I275" s="1219"/>
      <c r="J275" s="1222"/>
      <c r="K275" s="1165"/>
      <c r="L275" s="1165"/>
      <c r="M275" s="1165"/>
    </row>
    <row r="276" spans="3:13" ht="14.45" customHeight="1" x14ac:dyDescent="0.3">
      <c r="C276" s="1169"/>
      <c r="E276" s="421"/>
      <c r="F276" s="1227"/>
      <c r="G276" s="1227"/>
      <c r="H276" s="1227"/>
      <c r="I276" s="1227"/>
      <c r="J276" s="1223"/>
      <c r="K276" s="1166"/>
      <c r="L276" s="1166"/>
      <c r="M276" s="1166"/>
    </row>
    <row r="277" spans="3:13" ht="14.45" customHeight="1" x14ac:dyDescent="0.3">
      <c r="C277" s="1169"/>
      <c r="E277" s="385"/>
      <c r="F277" s="385"/>
      <c r="G277" s="385"/>
      <c r="H277" s="385"/>
      <c r="I277" s="385"/>
      <c r="J277" s="414"/>
      <c r="K277" s="414"/>
      <c r="L277" s="414"/>
      <c r="M277" s="414"/>
    </row>
    <row r="278" spans="3:13" ht="14.45" customHeight="1" x14ac:dyDescent="0.3">
      <c r="C278" s="1169"/>
      <c r="E278" s="385"/>
      <c r="F278" s="385"/>
      <c r="G278" s="385"/>
      <c r="H278" s="385"/>
      <c r="I278" s="385"/>
      <c r="J278" s="414"/>
      <c r="K278" s="414"/>
      <c r="L278" s="414"/>
      <c r="M278" s="414"/>
    </row>
    <row r="279" spans="3:13" ht="14.45" customHeight="1" x14ac:dyDescent="0.3">
      <c r="C279" s="1169"/>
      <c r="E279" s="385" t="s">
        <v>1066</v>
      </c>
      <c r="F279" s="385"/>
      <c r="G279" s="389" t="s">
        <v>1067</v>
      </c>
      <c r="J279" s="389"/>
      <c r="K279" s="389"/>
      <c r="L279" s="390"/>
      <c r="M279" s="390"/>
    </row>
    <row r="280" spans="3:13" ht="14.45" customHeight="1" x14ac:dyDescent="0.3">
      <c r="C280" s="1169"/>
      <c r="E280" s="385"/>
      <c r="F280" s="385"/>
      <c r="G280" s="385"/>
      <c r="H280" s="385"/>
      <c r="J280" s="385"/>
      <c r="K280" s="385"/>
      <c r="L280" s="385"/>
      <c r="M280" s="385"/>
    </row>
    <row r="281" spans="3:13" ht="14.45" customHeight="1" x14ac:dyDescent="0.3">
      <c r="C281" s="1169"/>
      <c r="E281" s="1175" t="s">
        <v>91</v>
      </c>
      <c r="F281" s="1175"/>
      <c r="G281" s="1148" t="s">
        <v>260</v>
      </c>
      <c r="H281" s="1148"/>
      <c r="I281" s="1153" t="s">
        <v>17</v>
      </c>
      <c r="J281" s="1153"/>
      <c r="L281" s="1148" t="s">
        <v>91</v>
      </c>
      <c r="M281" s="1148"/>
    </row>
    <row r="282" spans="3:13" ht="14.45" customHeight="1" x14ac:dyDescent="0.3">
      <c r="C282" s="1169"/>
      <c r="E282" s="1176" t="s">
        <v>1021</v>
      </c>
      <c r="F282" s="1176"/>
      <c r="G282" s="1149" t="s">
        <v>13</v>
      </c>
      <c r="H282" s="1149"/>
      <c r="I282" s="1154" t="s">
        <v>18</v>
      </c>
      <c r="J282" s="1154"/>
      <c r="L282" s="1149" t="s">
        <v>1021</v>
      </c>
      <c r="M282" s="1149"/>
    </row>
    <row r="283" spans="3:13" ht="14.45" customHeight="1" x14ac:dyDescent="0.3">
      <c r="C283" s="1169"/>
      <c r="E283" s="391" t="s">
        <v>264</v>
      </c>
      <c r="F283" s="391"/>
      <c r="G283" s="391"/>
      <c r="H283" s="385"/>
      <c r="I283" s="385"/>
      <c r="J283" s="385"/>
      <c r="K283" s="392"/>
      <c r="L283" s="385"/>
      <c r="M283" s="385"/>
    </row>
    <row r="284" spans="3:13" ht="14.45" customHeight="1" x14ac:dyDescent="0.3">
      <c r="C284" s="1169"/>
      <c r="E284" s="393"/>
      <c r="F284" s="393"/>
      <c r="G284" s="393"/>
      <c r="H284" s="385"/>
      <c r="I284" s="385"/>
      <c r="J284" s="385"/>
      <c r="K284" s="394"/>
      <c r="L284" s="385"/>
      <c r="M284" s="385"/>
    </row>
    <row r="285" spans="3:13" ht="14.45" customHeight="1" x14ac:dyDescent="0.3">
      <c r="C285" s="1169"/>
      <c r="E285" s="1148" t="s">
        <v>1495</v>
      </c>
      <c r="F285" s="1148"/>
      <c r="G285" s="395"/>
      <c r="H285" s="395"/>
      <c r="I285" s="395"/>
      <c r="J285" s="396"/>
      <c r="K285" s="396"/>
      <c r="L285" s="397"/>
      <c r="M285" s="393"/>
    </row>
    <row r="286" spans="3:13" ht="14.45" customHeight="1" x14ac:dyDescent="0.3">
      <c r="C286" s="1169"/>
      <c r="E286" s="1149" t="s">
        <v>14</v>
      </c>
      <c r="F286" s="1149"/>
    </row>
    <row r="287" spans="3:13" ht="14.45" customHeight="1" x14ac:dyDescent="0.3">
      <c r="E287" s="519"/>
      <c r="F287" s="519"/>
    </row>
    <row r="288" spans="3:13" ht="14.45" customHeight="1" x14ac:dyDescent="0.3">
      <c r="E288" s="519"/>
      <c r="F288" s="519"/>
    </row>
    <row r="289" spans="3:13" ht="15.95" customHeight="1" x14ac:dyDescent="0.3"/>
    <row r="290" spans="3:13" ht="14.45" customHeight="1" x14ac:dyDescent="0.3">
      <c r="C290" s="1152" t="s">
        <v>1243</v>
      </c>
      <c r="D290" s="385"/>
      <c r="F290" s="1155" t="s">
        <v>1601</v>
      </c>
      <c r="G290" s="1155"/>
      <c r="H290" s="1155"/>
      <c r="I290" s="1155"/>
      <c r="J290" s="1155"/>
      <c r="K290" s="1155"/>
      <c r="L290" s="1155"/>
      <c r="M290" s="360"/>
    </row>
    <row r="291" spans="3:13" ht="14.45" customHeight="1" x14ac:dyDescent="0.3">
      <c r="C291" s="1152"/>
      <c r="E291" s="1156" t="s">
        <v>182</v>
      </c>
      <c r="F291" s="1156"/>
      <c r="G291" s="1156"/>
      <c r="H291" s="1156"/>
      <c r="I291" s="1156"/>
      <c r="J291" s="1156"/>
      <c r="K291" s="1156"/>
      <c r="L291" s="1156"/>
      <c r="M291" s="1156"/>
    </row>
    <row r="292" spans="3:13" ht="14.45" customHeight="1" x14ac:dyDescent="0.3">
      <c r="C292" s="1152"/>
      <c r="E292" s="358" t="s">
        <v>1027</v>
      </c>
      <c r="F292" s="362" t="s">
        <v>1244</v>
      </c>
    </row>
    <row r="293" spans="3:13" ht="14.45" customHeight="1" x14ac:dyDescent="0.3">
      <c r="C293" s="1152"/>
      <c r="E293" s="358" t="s">
        <v>1029</v>
      </c>
      <c r="F293" s="363" t="s">
        <v>1245</v>
      </c>
    </row>
    <row r="294" spans="3:13" ht="19.5" customHeight="1" x14ac:dyDescent="0.3">
      <c r="C294" s="1152"/>
      <c r="E294" s="358" t="s">
        <v>1031</v>
      </c>
      <c r="F294" s="1147" t="s">
        <v>1520</v>
      </c>
      <c r="G294" s="1147"/>
      <c r="H294" s="1147"/>
      <c r="I294" s="1147"/>
      <c r="J294" s="1147"/>
      <c r="K294" s="1147"/>
      <c r="L294" s="1147"/>
      <c r="M294" s="1147"/>
    </row>
    <row r="295" spans="3:13" ht="15.75" customHeight="1" x14ac:dyDescent="0.3">
      <c r="C295" s="1152"/>
      <c r="F295" s="1147"/>
      <c r="G295" s="1147"/>
      <c r="H295" s="1147"/>
      <c r="I295" s="1147"/>
      <c r="J295" s="1147"/>
      <c r="K295" s="1147"/>
      <c r="L295" s="1147"/>
      <c r="M295" s="1147"/>
    </row>
    <row r="296" spans="3:13" ht="18" customHeight="1" x14ac:dyDescent="0.3">
      <c r="C296" s="1152"/>
      <c r="E296" s="358" t="s">
        <v>1033</v>
      </c>
      <c r="F296" s="1147" t="s">
        <v>1521</v>
      </c>
      <c r="G296" s="1147"/>
      <c r="H296" s="1147"/>
      <c r="I296" s="1147"/>
      <c r="J296" s="1147"/>
      <c r="K296" s="1147"/>
      <c r="L296" s="1147"/>
      <c r="M296" s="1147"/>
    </row>
    <row r="297" spans="3:13" ht="17.25" customHeight="1" x14ac:dyDescent="0.3">
      <c r="C297" s="1152"/>
      <c r="F297" s="1147"/>
      <c r="G297" s="1147"/>
      <c r="H297" s="1147"/>
      <c r="I297" s="1147"/>
      <c r="J297" s="1147"/>
      <c r="K297" s="1147"/>
      <c r="L297" s="1147"/>
      <c r="M297" s="1147"/>
    </row>
    <row r="298" spans="3:13" ht="14.45" customHeight="1" x14ac:dyDescent="0.3">
      <c r="C298" s="1152"/>
      <c r="E298" s="1228" t="s">
        <v>1514</v>
      </c>
      <c r="F298" s="1228"/>
      <c r="G298" s="1228"/>
      <c r="H298" s="1228"/>
      <c r="I298" s="1228"/>
      <c r="J298" s="1228"/>
      <c r="K298" s="1228"/>
      <c r="L298" s="1228"/>
      <c r="M298" s="1228"/>
    </row>
    <row r="299" spans="3:13" ht="19.5" customHeight="1" x14ac:dyDescent="0.3">
      <c r="C299" s="1152"/>
      <c r="E299" s="1229"/>
      <c r="F299" s="1229"/>
      <c r="G299" s="1229"/>
      <c r="H299" s="1229"/>
      <c r="I299" s="1229"/>
      <c r="J299" s="1229"/>
      <c r="K299" s="1229"/>
      <c r="L299" s="1229"/>
      <c r="M299" s="1229"/>
    </row>
    <row r="300" spans="3:13" ht="14.45" customHeight="1" x14ac:dyDescent="0.3">
      <c r="C300" s="1152"/>
      <c r="E300" s="1158" t="s">
        <v>1036</v>
      </c>
      <c r="F300" s="367" t="s">
        <v>648</v>
      </c>
      <c r="G300" s="1160" t="s">
        <v>650</v>
      </c>
      <c r="H300" s="367" t="s">
        <v>651</v>
      </c>
      <c r="I300" s="1158" t="s">
        <v>1037</v>
      </c>
      <c r="J300" s="1162" t="s">
        <v>1602</v>
      </c>
      <c r="K300" s="1162"/>
      <c r="L300" s="1162"/>
      <c r="M300" s="1163"/>
    </row>
    <row r="301" spans="3:13" ht="14.45" customHeight="1" x14ac:dyDescent="0.3">
      <c r="C301" s="1152"/>
      <c r="E301" s="1178"/>
      <c r="F301" s="368" t="s">
        <v>649</v>
      </c>
      <c r="G301" s="1179"/>
      <c r="H301" s="368" t="s">
        <v>652</v>
      </c>
      <c r="I301" s="1178"/>
      <c r="J301" s="521" t="s">
        <v>283</v>
      </c>
      <c r="K301" s="522" t="s">
        <v>284</v>
      </c>
      <c r="L301" s="367" t="s">
        <v>285</v>
      </c>
      <c r="M301" s="523" t="s">
        <v>15</v>
      </c>
    </row>
    <row r="302" spans="3:13" ht="14.45" customHeight="1" x14ac:dyDescent="0.3">
      <c r="C302" s="1152"/>
      <c r="E302" s="373" t="s">
        <v>1246</v>
      </c>
      <c r="F302" s="1170" t="s">
        <v>1247</v>
      </c>
      <c r="G302" s="1172" t="s">
        <v>1248</v>
      </c>
      <c r="H302" s="1172" t="s">
        <v>1249</v>
      </c>
      <c r="I302" s="1172" t="s">
        <v>1250</v>
      </c>
      <c r="J302" s="1221">
        <f>'[1]LBP NO. 2'!M513</f>
        <v>2779008</v>
      </c>
      <c r="K302" s="1164">
        <f>'[1]LBP NO. 2'!M522</f>
        <v>431500</v>
      </c>
      <c r="L302" s="1164">
        <f>'[1]LBP NO. 2'!M528</f>
        <v>135000</v>
      </c>
      <c r="M302" s="1164">
        <f>SUM(J302:L318)</f>
        <v>3345508</v>
      </c>
    </row>
    <row r="303" spans="3:13" ht="14.45" customHeight="1" x14ac:dyDescent="0.3">
      <c r="C303" s="1152"/>
      <c r="E303" s="401"/>
      <c r="F303" s="1171"/>
      <c r="G303" s="1168"/>
      <c r="H303" s="1168"/>
      <c r="I303" s="1168"/>
      <c r="J303" s="1222"/>
      <c r="K303" s="1165"/>
      <c r="L303" s="1165"/>
      <c r="M303" s="1165"/>
    </row>
    <row r="304" spans="3:13" ht="14.45" customHeight="1" x14ac:dyDescent="0.3">
      <c r="C304" s="1152"/>
      <c r="E304" s="401"/>
      <c r="F304" s="1171"/>
      <c r="G304" s="1168"/>
      <c r="H304" s="1168"/>
      <c r="I304" s="1168"/>
      <c r="J304" s="1222"/>
      <c r="K304" s="1165"/>
      <c r="L304" s="1165"/>
      <c r="M304" s="1165"/>
    </row>
    <row r="305" spans="3:13" ht="48" customHeight="1" x14ac:dyDescent="0.3">
      <c r="C305" s="1152"/>
      <c r="E305" s="375"/>
      <c r="F305" s="1213"/>
      <c r="G305" s="1217"/>
      <c r="H305" s="1217"/>
      <c r="I305" s="1217"/>
      <c r="J305" s="1222"/>
      <c r="K305" s="1165"/>
      <c r="L305" s="1165"/>
      <c r="M305" s="1165"/>
    </row>
    <row r="306" spans="3:13" ht="14.45" customHeight="1" x14ac:dyDescent="0.3">
      <c r="C306" s="1152"/>
      <c r="E306" s="373" t="s">
        <v>1246</v>
      </c>
      <c r="F306" s="1172" t="s">
        <v>1251</v>
      </c>
      <c r="G306" s="1172" t="s">
        <v>1252</v>
      </c>
      <c r="H306" s="1172" t="s">
        <v>1253</v>
      </c>
      <c r="I306" s="1172" t="s">
        <v>1094</v>
      </c>
      <c r="J306" s="1222"/>
      <c r="K306" s="1165"/>
      <c r="L306" s="1165"/>
      <c r="M306" s="1165"/>
    </row>
    <row r="307" spans="3:13" ht="14.45" customHeight="1" x14ac:dyDescent="0.3">
      <c r="C307" s="1152"/>
      <c r="E307" s="374"/>
      <c r="F307" s="1168"/>
      <c r="G307" s="1168"/>
      <c r="H307" s="1168"/>
      <c r="I307" s="1168"/>
      <c r="J307" s="1222"/>
      <c r="K307" s="1165"/>
      <c r="L307" s="1165"/>
      <c r="M307" s="1165"/>
    </row>
    <row r="308" spans="3:13" ht="14.45" customHeight="1" x14ac:dyDescent="0.3">
      <c r="C308" s="1152"/>
      <c r="E308" s="374"/>
      <c r="F308" s="1168"/>
      <c r="G308" s="1168"/>
      <c r="H308" s="1168"/>
      <c r="I308" s="1168"/>
      <c r="J308" s="1222"/>
      <c r="K308" s="1165"/>
      <c r="L308" s="1165"/>
      <c r="M308" s="1165"/>
    </row>
    <row r="309" spans="3:13" ht="14.45" customHeight="1" x14ac:dyDescent="0.3">
      <c r="C309" s="1152"/>
      <c r="E309" s="421"/>
      <c r="F309" s="1217"/>
      <c r="G309" s="1217"/>
      <c r="H309" s="1217"/>
      <c r="I309" s="1217"/>
      <c r="J309" s="1222"/>
      <c r="K309" s="1165"/>
      <c r="L309" s="1165"/>
      <c r="M309" s="1165"/>
    </row>
    <row r="310" spans="3:13" ht="14.45" customHeight="1" x14ac:dyDescent="0.3">
      <c r="C310" s="1152"/>
      <c r="E310" s="373" t="s">
        <v>1246</v>
      </c>
      <c r="F310" s="1170" t="s">
        <v>1254</v>
      </c>
      <c r="G310" s="1172" t="s">
        <v>1255</v>
      </c>
      <c r="H310" s="1170" t="s">
        <v>1256</v>
      </c>
      <c r="I310" s="1172" t="s">
        <v>1094</v>
      </c>
      <c r="J310" s="1222"/>
      <c r="K310" s="1165"/>
      <c r="L310" s="1165"/>
      <c r="M310" s="1165"/>
    </row>
    <row r="311" spans="3:13" ht="30" customHeight="1" x14ac:dyDescent="0.3">
      <c r="C311" s="1152"/>
      <c r="E311" s="375"/>
      <c r="F311" s="1213"/>
      <c r="G311" s="1217"/>
      <c r="H311" s="1213"/>
      <c r="I311" s="1217"/>
      <c r="J311" s="1222"/>
      <c r="K311" s="1165"/>
      <c r="L311" s="1165"/>
      <c r="M311" s="1165"/>
    </row>
    <row r="312" spans="3:13" ht="14.45" customHeight="1" x14ac:dyDescent="0.3">
      <c r="C312" s="1152"/>
      <c r="E312" s="373" t="s">
        <v>1246</v>
      </c>
      <c r="F312" s="1170" t="s">
        <v>1257</v>
      </c>
      <c r="G312" s="1172" t="s">
        <v>1258</v>
      </c>
      <c r="H312" s="1170" t="s">
        <v>1259</v>
      </c>
      <c r="I312" s="1172" t="s">
        <v>1260</v>
      </c>
      <c r="J312" s="1222"/>
      <c r="K312" s="1165"/>
      <c r="L312" s="1165"/>
      <c r="M312" s="1165"/>
    </row>
    <row r="313" spans="3:13" ht="14.45" customHeight="1" x14ac:dyDescent="0.3">
      <c r="C313" s="1152"/>
      <c r="E313" s="374"/>
      <c r="F313" s="1171"/>
      <c r="G313" s="1168"/>
      <c r="H313" s="1171"/>
      <c r="I313" s="1168"/>
      <c r="J313" s="1222"/>
      <c r="K313" s="1165"/>
      <c r="L313" s="1165"/>
      <c r="M313" s="1165"/>
    </row>
    <row r="314" spans="3:13" ht="30.75" customHeight="1" x14ac:dyDescent="0.3">
      <c r="C314" s="1152"/>
      <c r="E314" s="375"/>
      <c r="F314" s="1213"/>
      <c r="G314" s="1217"/>
      <c r="H314" s="1213"/>
      <c r="I314" s="1217"/>
      <c r="J314" s="1222"/>
      <c r="K314" s="1165"/>
      <c r="L314" s="1165"/>
      <c r="M314" s="1165"/>
    </row>
    <row r="315" spans="3:13" ht="14.45" customHeight="1" x14ac:dyDescent="0.3">
      <c r="C315" s="1152"/>
      <c r="E315" s="373" t="s">
        <v>1246</v>
      </c>
      <c r="F315" s="1224" t="s">
        <v>1091</v>
      </c>
      <c r="G315" s="1218" t="s">
        <v>1092</v>
      </c>
      <c r="H315" s="1218" t="s">
        <v>1093</v>
      </c>
      <c r="I315" s="1218" t="s">
        <v>1094</v>
      </c>
      <c r="J315" s="1222"/>
      <c r="K315" s="1165"/>
      <c r="L315" s="1165"/>
      <c r="M315" s="1165"/>
    </row>
    <row r="316" spans="3:13" ht="14.45" customHeight="1" x14ac:dyDescent="0.3">
      <c r="C316" s="1152"/>
      <c r="E316" s="401"/>
      <c r="F316" s="1225"/>
      <c r="G316" s="1219"/>
      <c r="H316" s="1219"/>
      <c r="I316" s="1219"/>
      <c r="J316" s="1222"/>
      <c r="K316" s="1165"/>
      <c r="L316" s="1165"/>
      <c r="M316" s="1165"/>
    </row>
    <row r="317" spans="3:13" ht="14.45" customHeight="1" x14ac:dyDescent="0.3">
      <c r="C317" s="1152"/>
      <c r="E317" s="374"/>
      <c r="F317" s="1225"/>
      <c r="G317" s="1219"/>
      <c r="H317" s="1219"/>
      <c r="I317" s="1219"/>
      <c r="J317" s="1222"/>
      <c r="K317" s="1165"/>
      <c r="L317" s="1165"/>
      <c r="M317" s="1165"/>
    </row>
    <row r="318" spans="3:13" ht="14.45" customHeight="1" x14ac:dyDescent="0.3">
      <c r="C318" s="1152"/>
      <c r="E318" s="421"/>
      <c r="F318" s="1226"/>
      <c r="G318" s="1227"/>
      <c r="H318" s="1227"/>
      <c r="I318" s="1227"/>
      <c r="J318" s="1223"/>
      <c r="K318" s="1166"/>
      <c r="L318" s="1166"/>
      <c r="M318" s="1166"/>
    </row>
    <row r="319" spans="3:13" ht="14.45" customHeight="1" x14ac:dyDescent="0.3">
      <c r="C319" s="1152"/>
      <c r="E319" s="385"/>
      <c r="F319" s="385"/>
      <c r="G319" s="385"/>
      <c r="H319" s="385"/>
      <c r="I319" s="385"/>
      <c r="J319" s="414"/>
      <c r="K319" s="414"/>
      <c r="L319" s="414"/>
      <c r="M319" s="414"/>
    </row>
    <row r="320" spans="3:13" ht="14.45" customHeight="1" x14ac:dyDescent="0.3">
      <c r="C320" s="1152"/>
      <c r="E320" s="385" t="s">
        <v>1066</v>
      </c>
      <c r="F320" s="385"/>
      <c r="G320" s="389" t="s">
        <v>1067</v>
      </c>
      <c r="J320" s="389"/>
      <c r="K320" s="389"/>
      <c r="L320" s="390"/>
      <c r="M320" s="390"/>
    </row>
    <row r="321" spans="3:13" ht="14.45" customHeight="1" x14ac:dyDescent="0.3">
      <c r="C321" s="1152"/>
      <c r="E321" s="385"/>
      <c r="F321" s="385"/>
      <c r="G321" s="385"/>
      <c r="H321" s="385"/>
      <c r="J321" s="385"/>
      <c r="K321" s="385"/>
      <c r="L321" s="385"/>
      <c r="M321" s="385"/>
    </row>
    <row r="322" spans="3:13" ht="14.45" customHeight="1" x14ac:dyDescent="0.3">
      <c r="C322" s="1152"/>
      <c r="E322" s="1175" t="s">
        <v>25</v>
      </c>
      <c r="F322" s="1175"/>
      <c r="G322" s="1148" t="s">
        <v>260</v>
      </c>
      <c r="H322" s="1148"/>
      <c r="I322" s="1153" t="s">
        <v>17</v>
      </c>
      <c r="J322" s="1153"/>
      <c r="L322" s="1148" t="s">
        <v>91</v>
      </c>
      <c r="M322" s="1148"/>
    </row>
    <row r="323" spans="3:13" ht="14.45" customHeight="1" x14ac:dyDescent="0.3">
      <c r="C323" s="1152"/>
      <c r="E323" s="1176" t="s">
        <v>875</v>
      </c>
      <c r="F323" s="1176"/>
      <c r="G323" s="1149" t="s">
        <v>13</v>
      </c>
      <c r="H323" s="1149"/>
      <c r="I323" s="1154" t="s">
        <v>18</v>
      </c>
      <c r="J323" s="1154"/>
      <c r="L323" s="1149" t="s">
        <v>1021</v>
      </c>
      <c r="M323" s="1149"/>
    </row>
    <row r="324" spans="3:13" ht="14.45" customHeight="1" x14ac:dyDescent="0.3">
      <c r="C324" s="1152"/>
      <c r="E324" s="391" t="s">
        <v>264</v>
      </c>
      <c r="F324" s="391"/>
      <c r="G324" s="391"/>
      <c r="H324" s="385"/>
      <c r="I324" s="385"/>
      <c r="J324" s="385"/>
      <c r="K324" s="392"/>
      <c r="L324" s="385"/>
      <c r="M324" s="385"/>
    </row>
    <row r="325" spans="3:13" ht="14.45" customHeight="1" x14ac:dyDescent="0.3">
      <c r="C325" s="1152"/>
      <c r="E325" s="393"/>
      <c r="F325" s="393"/>
      <c r="G325" s="393"/>
      <c r="H325" s="385"/>
      <c r="I325" s="385"/>
      <c r="J325" s="385"/>
      <c r="K325" s="394"/>
      <c r="L325" s="385"/>
      <c r="M325" s="385"/>
    </row>
    <row r="326" spans="3:13" ht="14.45" customHeight="1" x14ac:dyDescent="0.3">
      <c r="C326" s="1152"/>
      <c r="E326" s="1148" t="s">
        <v>1495</v>
      </c>
      <c r="F326" s="1148"/>
      <c r="G326" s="395"/>
      <c r="H326" s="395"/>
      <c r="I326" s="395"/>
      <c r="J326" s="396"/>
      <c r="K326" s="396"/>
      <c r="L326" s="397"/>
      <c r="M326" s="393"/>
    </row>
    <row r="327" spans="3:13" ht="14.45" customHeight="1" x14ac:dyDescent="0.3">
      <c r="C327" s="1152"/>
      <c r="E327" s="1149" t="s">
        <v>14</v>
      </c>
      <c r="F327" s="1149"/>
      <c r="G327" s="395"/>
      <c r="H327" s="395"/>
      <c r="I327" s="395"/>
      <c r="J327" s="396"/>
      <c r="K327" s="396"/>
      <c r="L327" s="397"/>
      <c r="M327" s="393"/>
    </row>
    <row r="328" spans="3:13" ht="14.45" customHeight="1" x14ac:dyDescent="0.3">
      <c r="E328" s="519"/>
      <c r="F328" s="519"/>
      <c r="G328" s="395"/>
      <c r="H328" s="395"/>
      <c r="I328" s="395"/>
      <c r="J328" s="396"/>
      <c r="K328" s="396"/>
      <c r="L328" s="397"/>
      <c r="M328" s="393"/>
    </row>
    <row r="329" spans="3:13" ht="14.45" customHeight="1" x14ac:dyDescent="0.3">
      <c r="E329" s="525"/>
      <c r="F329" s="525"/>
      <c r="G329" s="395"/>
      <c r="H329" s="395"/>
      <c r="I329" s="395"/>
      <c r="J329" s="396"/>
      <c r="K329" s="396"/>
      <c r="L329" s="397"/>
      <c r="M329" s="393"/>
    </row>
    <row r="330" spans="3:13" ht="14.45" customHeight="1" x14ac:dyDescent="0.3">
      <c r="E330" s="525"/>
      <c r="F330" s="525"/>
      <c r="G330" s="395"/>
      <c r="H330" s="395"/>
      <c r="I330" s="395"/>
      <c r="J330" s="396"/>
      <c r="K330" s="396"/>
      <c r="L330" s="397"/>
      <c r="M330" s="393"/>
    </row>
    <row r="331" spans="3:13" ht="14.45" customHeight="1" x14ac:dyDescent="0.3">
      <c r="E331" s="525"/>
      <c r="F331" s="525"/>
      <c r="G331" s="395"/>
      <c r="H331" s="395"/>
      <c r="I331" s="395"/>
      <c r="J331" s="396"/>
      <c r="K331" s="396"/>
      <c r="L331" s="397"/>
      <c r="M331" s="393"/>
    </row>
    <row r="332" spans="3:13" ht="14.45" customHeight="1" x14ac:dyDescent="0.3">
      <c r="E332" s="525"/>
      <c r="F332" s="525"/>
      <c r="G332" s="395"/>
      <c r="H332" s="395"/>
      <c r="I332" s="395"/>
      <c r="J332" s="396"/>
      <c r="K332" s="396"/>
      <c r="L332" s="397"/>
      <c r="M332" s="393"/>
    </row>
    <row r="333" spans="3:13" ht="14.45" customHeight="1" x14ac:dyDescent="0.3">
      <c r="E333" s="525"/>
      <c r="F333" s="525"/>
      <c r="G333" s="395"/>
      <c r="H333" s="395"/>
      <c r="I333" s="395"/>
      <c r="J333" s="396"/>
      <c r="K333" s="396"/>
      <c r="L333" s="397"/>
      <c r="M333" s="393"/>
    </row>
    <row r="334" spans="3:13" ht="14.45" customHeight="1" x14ac:dyDescent="0.3">
      <c r="E334" s="525"/>
      <c r="F334" s="525"/>
      <c r="G334" s="395"/>
      <c r="H334" s="395"/>
      <c r="I334" s="395"/>
      <c r="J334" s="396"/>
      <c r="K334" s="396"/>
      <c r="L334" s="397"/>
      <c r="M334" s="393"/>
    </row>
    <row r="335" spans="3:13" ht="15.95" customHeight="1" x14ac:dyDescent="0.3"/>
    <row r="336" spans="3:13" ht="14.45" customHeight="1" x14ac:dyDescent="0.3">
      <c r="C336" s="1152" t="s">
        <v>1261</v>
      </c>
      <c r="D336" s="385"/>
      <c r="F336" s="1155" t="s">
        <v>1601</v>
      </c>
      <c r="G336" s="1155"/>
      <c r="H336" s="1155"/>
      <c r="I336" s="1155"/>
      <c r="J336" s="1155"/>
      <c r="K336" s="1155"/>
      <c r="L336" s="1155"/>
      <c r="M336" s="360"/>
    </row>
    <row r="337" spans="3:13" ht="14.45" customHeight="1" x14ac:dyDescent="0.3">
      <c r="C337" s="1169"/>
      <c r="E337" s="1156" t="s">
        <v>182</v>
      </c>
      <c r="F337" s="1156"/>
      <c r="G337" s="1156"/>
      <c r="H337" s="1156"/>
      <c r="I337" s="1156"/>
      <c r="J337" s="1156"/>
      <c r="K337" s="1156"/>
      <c r="L337" s="1156"/>
      <c r="M337" s="1156"/>
    </row>
    <row r="338" spans="3:13" ht="14.45" customHeight="1" x14ac:dyDescent="0.3">
      <c r="C338" s="1169"/>
      <c r="E338" s="358" t="s">
        <v>1027</v>
      </c>
      <c r="F338" s="362" t="s">
        <v>1262</v>
      </c>
    </row>
    <row r="339" spans="3:13" ht="14.45" customHeight="1" x14ac:dyDescent="0.3">
      <c r="C339" s="1169"/>
      <c r="E339" s="358" t="s">
        <v>1029</v>
      </c>
      <c r="F339" s="1220" t="s">
        <v>1263</v>
      </c>
      <c r="G339" s="1220"/>
      <c r="H339" s="1220"/>
      <c r="I339" s="1220"/>
      <c r="J339" s="1220"/>
      <c r="K339" s="1220"/>
      <c r="L339" s="1220"/>
    </row>
    <row r="340" spans="3:13" ht="14.45" customHeight="1" x14ac:dyDescent="0.3">
      <c r="C340" s="1169"/>
      <c r="E340" s="358" t="s">
        <v>1031</v>
      </c>
      <c r="F340" s="1177" t="s">
        <v>1264</v>
      </c>
      <c r="G340" s="1177"/>
      <c r="H340" s="1177"/>
      <c r="I340" s="1177"/>
      <c r="J340" s="1177"/>
      <c r="K340" s="1177"/>
      <c r="L340" s="1177"/>
      <c r="M340" s="1177"/>
    </row>
    <row r="341" spans="3:13" ht="14.45" customHeight="1" x14ac:dyDescent="0.3">
      <c r="C341" s="1169"/>
      <c r="E341" s="358" t="s">
        <v>1033</v>
      </c>
      <c r="F341" s="1177" t="s">
        <v>1265</v>
      </c>
      <c r="G341" s="1177"/>
      <c r="H341" s="1177"/>
      <c r="I341" s="1177"/>
      <c r="J341" s="1177"/>
      <c r="K341" s="1177"/>
      <c r="L341" s="1177"/>
      <c r="M341" s="1177"/>
    </row>
    <row r="342" spans="3:13" ht="15.75" customHeight="1" x14ac:dyDescent="0.3">
      <c r="C342" s="1169"/>
      <c r="E342" s="366" t="s">
        <v>1266</v>
      </c>
      <c r="F342" s="366"/>
      <c r="G342" s="366"/>
      <c r="H342" s="366"/>
      <c r="I342" s="366"/>
      <c r="J342" s="366"/>
      <c r="K342" s="366"/>
      <c r="L342" s="366"/>
      <c r="M342" s="366"/>
    </row>
    <row r="343" spans="3:13" ht="14.45" customHeight="1" x14ac:dyDescent="0.3">
      <c r="C343" s="1169"/>
      <c r="E343" s="1158" t="s">
        <v>1036</v>
      </c>
      <c r="F343" s="367" t="s">
        <v>648</v>
      </c>
      <c r="G343" s="1160" t="s">
        <v>650</v>
      </c>
      <c r="H343" s="367" t="s">
        <v>651</v>
      </c>
      <c r="I343" s="1158" t="s">
        <v>1037</v>
      </c>
      <c r="J343" s="1162" t="s">
        <v>1602</v>
      </c>
      <c r="K343" s="1162"/>
      <c r="L343" s="1162"/>
      <c r="M343" s="1163"/>
    </row>
    <row r="344" spans="3:13" ht="14.45" customHeight="1" x14ac:dyDescent="0.3">
      <c r="C344" s="1169"/>
      <c r="E344" s="1159"/>
      <c r="F344" s="368" t="s">
        <v>649</v>
      </c>
      <c r="G344" s="1179"/>
      <c r="H344" s="368" t="s">
        <v>652</v>
      </c>
      <c r="I344" s="1178"/>
      <c r="J344" s="369" t="s">
        <v>283</v>
      </c>
      <c r="K344" s="370" t="s">
        <v>284</v>
      </c>
      <c r="L344" s="371" t="s">
        <v>285</v>
      </c>
      <c r="M344" s="372" t="s">
        <v>15</v>
      </c>
    </row>
    <row r="345" spans="3:13" ht="14.45" customHeight="1" x14ac:dyDescent="0.3">
      <c r="C345" s="1169"/>
      <c r="E345" s="526" t="s">
        <v>1267</v>
      </c>
      <c r="F345" s="1172" t="s">
        <v>1268</v>
      </c>
      <c r="G345" s="1172" t="s">
        <v>1269</v>
      </c>
      <c r="H345" s="1172" t="s">
        <v>1270</v>
      </c>
      <c r="I345" s="1172" t="s">
        <v>1094</v>
      </c>
      <c r="J345" s="1221">
        <f>'[1]LBP NO. 2'!M582</f>
        <v>2425711</v>
      </c>
      <c r="K345" s="1164">
        <f>'[1]LBP NO. 2'!M591</f>
        <v>234000</v>
      </c>
      <c r="L345" s="1164">
        <f>'[1]LBP NO. 2'!M597</f>
        <v>220000</v>
      </c>
      <c r="M345" s="1164">
        <f>SUM(J345:L359)</f>
        <v>2879711</v>
      </c>
    </row>
    <row r="346" spans="3:13" ht="27.75" customHeight="1" x14ac:dyDescent="0.3">
      <c r="C346" s="1169"/>
      <c r="E346" s="527"/>
      <c r="F346" s="1217"/>
      <c r="G346" s="1217"/>
      <c r="H346" s="1217"/>
      <c r="I346" s="1217"/>
      <c r="J346" s="1222"/>
      <c r="K346" s="1165"/>
      <c r="L346" s="1165"/>
      <c r="M346" s="1165"/>
    </row>
    <row r="347" spans="3:13" ht="14.45" customHeight="1" x14ac:dyDescent="0.3">
      <c r="C347" s="1169"/>
      <c r="E347" s="526" t="s">
        <v>1267</v>
      </c>
      <c r="F347" s="1172" t="s">
        <v>1271</v>
      </c>
      <c r="G347" s="1172" t="s">
        <v>1272</v>
      </c>
      <c r="H347" s="1170" t="s">
        <v>1273</v>
      </c>
      <c r="I347" s="1172" t="s">
        <v>1094</v>
      </c>
      <c r="J347" s="1222"/>
      <c r="K347" s="1165"/>
      <c r="L347" s="1165"/>
      <c r="M347" s="1165"/>
    </row>
    <row r="348" spans="3:13" ht="40.5" customHeight="1" x14ac:dyDescent="0.3">
      <c r="C348" s="1169"/>
      <c r="E348" s="527"/>
      <c r="F348" s="1217"/>
      <c r="G348" s="1217"/>
      <c r="H348" s="1213"/>
      <c r="I348" s="1217"/>
      <c r="J348" s="1222"/>
      <c r="K348" s="1165"/>
      <c r="L348" s="1165"/>
      <c r="M348" s="1165"/>
    </row>
    <row r="349" spans="3:13" ht="14.45" customHeight="1" x14ac:dyDescent="0.3">
      <c r="C349" s="1169"/>
      <c r="E349" s="526" t="s">
        <v>1267</v>
      </c>
      <c r="F349" s="1172" t="s">
        <v>1274</v>
      </c>
      <c r="G349" s="1172" t="s">
        <v>1275</v>
      </c>
      <c r="H349" s="1170" t="s">
        <v>1276</v>
      </c>
      <c r="I349" s="1172" t="s">
        <v>1094</v>
      </c>
      <c r="J349" s="1222"/>
      <c r="K349" s="1165"/>
      <c r="L349" s="1165"/>
      <c r="M349" s="1165"/>
    </row>
    <row r="350" spans="3:13" ht="14.45" customHeight="1" x14ac:dyDescent="0.3">
      <c r="C350" s="1169"/>
      <c r="E350" s="528"/>
      <c r="F350" s="1168"/>
      <c r="G350" s="1168"/>
      <c r="H350" s="1171"/>
      <c r="I350" s="1168"/>
      <c r="J350" s="1222"/>
      <c r="K350" s="1165"/>
      <c r="L350" s="1165"/>
      <c r="M350" s="1165"/>
    </row>
    <row r="351" spans="3:13" ht="24.75" customHeight="1" x14ac:dyDescent="0.3">
      <c r="C351" s="1169"/>
      <c r="E351" s="527"/>
      <c r="F351" s="1217"/>
      <c r="G351" s="1217"/>
      <c r="H351" s="1213"/>
      <c r="I351" s="1217"/>
      <c r="J351" s="1222"/>
      <c r="K351" s="1165"/>
      <c r="L351" s="1165"/>
      <c r="M351" s="1165"/>
    </row>
    <row r="352" spans="3:13" ht="14.45" customHeight="1" x14ac:dyDescent="0.3">
      <c r="C352" s="1169"/>
      <c r="E352" s="526" t="s">
        <v>1267</v>
      </c>
      <c r="F352" s="1170" t="s">
        <v>1277</v>
      </c>
      <c r="G352" s="1214" t="s">
        <v>1278</v>
      </c>
      <c r="H352" s="1172" t="s">
        <v>1279</v>
      </c>
      <c r="I352" s="1172" t="s">
        <v>1094</v>
      </c>
      <c r="J352" s="1222"/>
      <c r="K352" s="1165"/>
      <c r="L352" s="1165"/>
      <c r="M352" s="1165"/>
    </row>
    <row r="353" spans="3:13" ht="14.45" customHeight="1" x14ac:dyDescent="0.3">
      <c r="C353" s="1169"/>
      <c r="E353" s="528"/>
      <c r="F353" s="1171"/>
      <c r="G353" s="1215"/>
      <c r="H353" s="1168"/>
      <c r="I353" s="1168"/>
      <c r="J353" s="1222"/>
      <c r="K353" s="1165"/>
      <c r="L353" s="1165"/>
      <c r="M353" s="1165"/>
    </row>
    <row r="354" spans="3:13" ht="14.45" customHeight="1" x14ac:dyDescent="0.3">
      <c r="C354" s="1169"/>
      <c r="E354" s="528"/>
      <c r="F354" s="1171"/>
      <c r="G354" s="1215"/>
      <c r="H354" s="1168"/>
      <c r="I354" s="1168"/>
      <c r="J354" s="1222"/>
      <c r="K354" s="1165"/>
      <c r="L354" s="1165"/>
      <c r="M354" s="1165"/>
    </row>
    <row r="355" spans="3:13" ht="33.75" customHeight="1" x14ac:dyDescent="0.3">
      <c r="C355" s="1169"/>
      <c r="E355" s="527"/>
      <c r="F355" s="1213"/>
      <c r="G355" s="1216"/>
      <c r="H355" s="1217"/>
      <c r="I355" s="1217"/>
      <c r="J355" s="1222"/>
      <c r="K355" s="1165"/>
      <c r="L355" s="1165"/>
      <c r="M355" s="1165"/>
    </row>
    <row r="356" spans="3:13" ht="14.45" customHeight="1" x14ac:dyDescent="0.3">
      <c r="C356" s="1169"/>
      <c r="E356" s="526" t="s">
        <v>1267</v>
      </c>
      <c r="F356" s="1218" t="s">
        <v>1091</v>
      </c>
      <c r="G356" s="1218" t="s">
        <v>1092</v>
      </c>
      <c r="H356" s="1218" t="s">
        <v>1093</v>
      </c>
      <c r="I356" s="1218" t="s">
        <v>1094</v>
      </c>
      <c r="J356" s="1222"/>
      <c r="K356" s="1165"/>
      <c r="L356" s="1165"/>
      <c r="M356" s="1165"/>
    </row>
    <row r="357" spans="3:13" ht="14.45" customHeight="1" x14ac:dyDescent="0.3">
      <c r="C357" s="1169"/>
      <c r="E357" s="529"/>
      <c r="F357" s="1219"/>
      <c r="G357" s="1219"/>
      <c r="H357" s="1219"/>
      <c r="I357" s="1219"/>
      <c r="J357" s="1222"/>
      <c r="K357" s="1165"/>
      <c r="L357" s="1165"/>
      <c r="M357" s="1165"/>
    </row>
    <row r="358" spans="3:13" ht="32.25" customHeight="1" x14ac:dyDescent="0.3">
      <c r="C358" s="1169"/>
      <c r="E358" s="529"/>
      <c r="F358" s="1219"/>
      <c r="G358" s="1219"/>
      <c r="H358" s="1219"/>
      <c r="I358" s="1219"/>
      <c r="J358" s="1222"/>
      <c r="K358" s="1165"/>
      <c r="L358" s="1165"/>
      <c r="M358" s="1165"/>
    </row>
    <row r="359" spans="3:13" ht="14.45" customHeight="1" x14ac:dyDescent="0.3">
      <c r="C359" s="1169"/>
      <c r="E359" s="530"/>
      <c r="F359" s="508"/>
      <c r="G359" s="508"/>
      <c r="H359" s="508"/>
      <c r="I359" s="508"/>
      <c r="J359" s="1223"/>
      <c r="K359" s="1166"/>
      <c r="L359" s="1166"/>
      <c r="M359" s="1166"/>
    </row>
    <row r="360" spans="3:13" ht="14.45" customHeight="1" x14ac:dyDescent="0.3">
      <c r="C360" s="1169"/>
      <c r="E360" s="385"/>
      <c r="F360" s="385"/>
      <c r="G360" s="385"/>
      <c r="H360" s="385"/>
      <c r="I360" s="385"/>
      <c r="J360" s="414"/>
      <c r="K360" s="414"/>
      <c r="L360" s="414"/>
      <c r="M360" s="414"/>
    </row>
    <row r="361" spans="3:13" ht="14.45" customHeight="1" x14ac:dyDescent="0.3">
      <c r="C361" s="1169"/>
      <c r="E361" s="385" t="s">
        <v>1066</v>
      </c>
      <c r="F361" s="385"/>
      <c r="G361" s="389" t="s">
        <v>1067</v>
      </c>
      <c r="J361" s="389"/>
      <c r="K361" s="389"/>
      <c r="L361" s="390"/>
      <c r="M361" s="390"/>
    </row>
    <row r="362" spans="3:13" ht="14.45" customHeight="1" x14ac:dyDescent="0.3">
      <c r="C362" s="1169"/>
      <c r="E362" s="385"/>
      <c r="F362" s="385"/>
      <c r="G362" s="385"/>
      <c r="H362" s="385"/>
      <c r="J362" s="385"/>
      <c r="K362" s="385"/>
      <c r="L362" s="385"/>
      <c r="M362" s="385"/>
    </row>
    <row r="363" spans="3:13" ht="14.45" customHeight="1" x14ac:dyDescent="0.3">
      <c r="C363" s="1169"/>
      <c r="E363" s="1175" t="s">
        <v>935</v>
      </c>
      <c r="F363" s="1175"/>
      <c r="G363" s="1148" t="s">
        <v>260</v>
      </c>
      <c r="H363" s="1148"/>
      <c r="I363" s="1153" t="s">
        <v>17</v>
      </c>
      <c r="J363" s="1153"/>
      <c r="L363" s="1148" t="s">
        <v>91</v>
      </c>
      <c r="M363" s="1148"/>
    </row>
    <row r="364" spans="3:13" ht="14.45" customHeight="1" x14ac:dyDescent="0.3">
      <c r="C364" s="1169"/>
      <c r="E364" s="1176" t="s">
        <v>989</v>
      </c>
      <c r="F364" s="1176"/>
      <c r="G364" s="1149" t="s">
        <v>13</v>
      </c>
      <c r="H364" s="1149"/>
      <c r="I364" s="1154" t="s">
        <v>18</v>
      </c>
      <c r="J364" s="1154"/>
      <c r="L364" s="1149" t="s">
        <v>1021</v>
      </c>
      <c r="M364" s="1149"/>
    </row>
    <row r="365" spans="3:13" ht="14.45" customHeight="1" x14ac:dyDescent="0.3">
      <c r="C365" s="1169"/>
      <c r="E365" s="391" t="s">
        <v>264</v>
      </c>
      <c r="F365" s="391"/>
      <c r="G365" s="391"/>
      <c r="H365" s="385"/>
      <c r="I365" s="385"/>
      <c r="J365" s="385"/>
      <c r="K365" s="392"/>
      <c r="L365" s="385"/>
      <c r="M365" s="385"/>
    </row>
    <row r="366" spans="3:13" ht="14.45" customHeight="1" x14ac:dyDescent="0.3">
      <c r="C366" s="1169"/>
      <c r="E366" s="393"/>
      <c r="F366" s="393"/>
      <c r="G366" s="393"/>
      <c r="H366" s="385"/>
      <c r="I366" s="385"/>
      <c r="J366" s="385"/>
      <c r="K366" s="394"/>
      <c r="L366" s="385"/>
      <c r="M366" s="385"/>
    </row>
    <row r="367" spans="3:13" ht="14.45" customHeight="1" x14ac:dyDescent="0.3">
      <c r="C367" s="1169"/>
      <c r="E367" s="1148" t="s">
        <v>1495</v>
      </c>
      <c r="F367" s="1148"/>
      <c r="G367" s="395"/>
      <c r="H367" s="395"/>
      <c r="I367" s="395"/>
      <c r="J367" s="396"/>
      <c r="K367" s="396"/>
      <c r="L367" s="397"/>
      <c r="M367" s="393"/>
    </row>
    <row r="368" spans="3:13" ht="14.45" customHeight="1" x14ac:dyDescent="0.3">
      <c r="C368" s="1169"/>
      <c r="E368" s="1149" t="s">
        <v>14</v>
      </c>
      <c r="F368" s="1149"/>
      <c r="G368" s="395"/>
      <c r="H368" s="395"/>
      <c r="I368" s="395"/>
      <c r="J368" s="396"/>
      <c r="K368" s="396"/>
      <c r="L368" s="397"/>
      <c r="M368" s="393"/>
    </row>
    <row r="369" spans="3:13" ht="14.45" customHeight="1" x14ac:dyDescent="0.3">
      <c r="E369" s="525"/>
      <c r="F369" s="525"/>
      <c r="G369" s="395"/>
      <c r="H369" s="395"/>
      <c r="I369" s="395"/>
      <c r="J369" s="396"/>
      <c r="K369" s="396"/>
      <c r="L369" s="397"/>
      <c r="M369" s="393"/>
    </row>
    <row r="370" spans="3:13" ht="14.45" customHeight="1" x14ac:dyDescent="0.3">
      <c r="E370" s="525"/>
      <c r="F370" s="525"/>
      <c r="G370" s="395"/>
      <c r="H370" s="395"/>
      <c r="I370" s="395"/>
      <c r="J370" s="396"/>
      <c r="K370" s="396"/>
      <c r="L370" s="397"/>
      <c r="M370" s="393"/>
    </row>
    <row r="371" spans="3:13" ht="14.45" customHeight="1" x14ac:dyDescent="0.3">
      <c r="E371" s="525"/>
      <c r="F371" s="525"/>
      <c r="G371" s="395"/>
      <c r="H371" s="395"/>
      <c r="I371" s="395"/>
      <c r="J371" s="396"/>
      <c r="K371" s="396"/>
      <c r="L371" s="397"/>
      <c r="M371" s="393"/>
    </row>
    <row r="372" spans="3:13" ht="14.45" customHeight="1" x14ac:dyDescent="0.3">
      <c r="E372" s="525"/>
      <c r="F372" s="525"/>
      <c r="G372" s="395"/>
      <c r="H372" s="395"/>
      <c r="I372" s="395"/>
      <c r="J372" s="396"/>
      <c r="K372" s="396"/>
      <c r="L372" s="397"/>
      <c r="M372" s="393"/>
    </row>
    <row r="373" spans="3:13" ht="14.45" customHeight="1" x14ac:dyDescent="0.3">
      <c r="E373" s="525"/>
      <c r="F373" s="525"/>
      <c r="G373" s="395"/>
      <c r="H373" s="395"/>
      <c r="I373" s="395"/>
      <c r="J373" s="396"/>
      <c r="K373" s="396"/>
      <c r="L373" s="397"/>
      <c r="M373" s="393"/>
    </row>
    <row r="374" spans="3:13" ht="14.45" customHeight="1" x14ac:dyDescent="0.3">
      <c r="E374" s="525"/>
      <c r="F374" s="525"/>
      <c r="G374" s="395"/>
      <c r="H374" s="395"/>
      <c r="I374" s="395"/>
      <c r="J374" s="396"/>
      <c r="K374" s="396"/>
      <c r="L374" s="397"/>
      <c r="M374" s="393"/>
    </row>
    <row r="375" spans="3:13" ht="14.45" customHeight="1" x14ac:dyDescent="0.3">
      <c r="E375" s="525"/>
      <c r="F375" s="525"/>
      <c r="G375" s="395"/>
      <c r="H375" s="395"/>
      <c r="I375" s="395"/>
      <c r="J375" s="396"/>
      <c r="K375" s="396"/>
      <c r="L375" s="397"/>
      <c r="M375" s="393"/>
    </row>
    <row r="376" spans="3:13" ht="14.45" customHeight="1" x14ac:dyDescent="0.3">
      <c r="E376" s="525"/>
      <c r="F376" s="525"/>
      <c r="G376" s="395"/>
      <c r="H376" s="395"/>
      <c r="I376" s="395"/>
      <c r="J376" s="396"/>
      <c r="K376" s="396"/>
      <c r="L376" s="397"/>
      <c r="M376" s="393"/>
    </row>
    <row r="377" spans="3:13" ht="14.45" customHeight="1" x14ac:dyDescent="0.3">
      <c r="E377" s="525"/>
      <c r="F377" s="525"/>
      <c r="G377" s="395"/>
      <c r="H377" s="395"/>
      <c r="I377" s="395"/>
      <c r="J377" s="396"/>
      <c r="K377" s="396"/>
      <c r="L377" s="397"/>
      <c r="M377" s="393"/>
    </row>
    <row r="378" spans="3:13" ht="15.95" customHeight="1" x14ac:dyDescent="0.3">
      <c r="E378" s="519"/>
      <c r="F378" s="519"/>
    </row>
    <row r="379" spans="3:13" ht="14.45" customHeight="1" x14ac:dyDescent="0.3">
      <c r="D379" s="433"/>
      <c r="E379" s="433"/>
      <c r="F379" s="433"/>
      <c r="G379" s="433"/>
      <c r="H379" s="433"/>
      <c r="I379" s="433"/>
      <c r="J379" s="433"/>
      <c r="K379" s="433"/>
      <c r="L379" s="433"/>
      <c r="M379" s="433"/>
    </row>
    <row r="380" spans="3:13" ht="14.45" customHeight="1" x14ac:dyDescent="0.3">
      <c r="C380" s="926" t="s">
        <v>1280</v>
      </c>
      <c r="D380" s="1201" t="s">
        <v>1601</v>
      </c>
      <c r="E380" s="1201"/>
      <c r="F380" s="1201"/>
      <c r="G380" s="1201"/>
      <c r="H380" s="1201"/>
      <c r="I380" s="1201"/>
      <c r="J380" s="1201"/>
      <c r="K380" s="1201"/>
      <c r="L380" s="1201"/>
      <c r="M380" s="1201"/>
    </row>
    <row r="381" spans="3:13" ht="14.45" customHeight="1" x14ac:dyDescent="0.3">
      <c r="C381" s="926"/>
      <c r="D381" s="1202" t="s">
        <v>182</v>
      </c>
      <c r="E381" s="1202"/>
      <c r="F381" s="1202"/>
      <c r="G381" s="1202"/>
      <c r="H381" s="1202"/>
      <c r="I381" s="1202"/>
      <c r="J381" s="1202"/>
      <c r="K381" s="1202"/>
      <c r="L381" s="1202"/>
      <c r="M381" s="1202"/>
    </row>
    <row r="382" spans="3:13" ht="14.45" customHeight="1" x14ac:dyDescent="0.3">
      <c r="C382" s="926"/>
      <c r="E382" s="531" t="s">
        <v>1027</v>
      </c>
      <c r="F382" s="532" t="s">
        <v>1281</v>
      </c>
      <c r="G382" s="533"/>
      <c r="H382" s="533"/>
      <c r="I382" s="533"/>
      <c r="J382" s="533"/>
      <c r="K382" s="533"/>
      <c r="L382" s="533"/>
      <c r="M382" s="534"/>
    </row>
    <row r="383" spans="3:13" ht="14.45" customHeight="1" x14ac:dyDescent="0.3">
      <c r="C383" s="926"/>
      <c r="E383" s="531" t="s">
        <v>1029</v>
      </c>
      <c r="F383" s="1203" t="s">
        <v>1282</v>
      </c>
      <c r="G383" s="1203"/>
      <c r="H383" s="1203"/>
      <c r="I383" s="1203"/>
      <c r="J383" s="1203"/>
      <c r="K383" s="1203"/>
      <c r="L383" s="1203"/>
      <c r="M383" s="1203"/>
    </row>
    <row r="384" spans="3:13" ht="19.5" customHeight="1" x14ac:dyDescent="0.3">
      <c r="C384" s="926"/>
      <c r="E384" s="533"/>
      <c r="F384" s="1203"/>
      <c r="G384" s="1203"/>
      <c r="H384" s="1203"/>
      <c r="I384" s="1203"/>
      <c r="J384" s="1203"/>
      <c r="K384" s="1203"/>
      <c r="L384" s="1203"/>
      <c r="M384" s="1203"/>
    </row>
    <row r="385" spans="3:15" ht="14.45" customHeight="1" x14ac:dyDescent="0.3">
      <c r="C385" s="926"/>
      <c r="E385" s="531" t="s">
        <v>1031</v>
      </c>
      <c r="F385" s="1157" t="s">
        <v>1283</v>
      </c>
      <c r="G385" s="1157"/>
      <c r="H385" s="1157"/>
      <c r="I385" s="1157"/>
      <c r="J385" s="1157"/>
      <c r="K385" s="1157"/>
      <c r="L385" s="1157"/>
      <c r="M385" s="1157"/>
    </row>
    <row r="386" spans="3:15" ht="19.5" customHeight="1" x14ac:dyDescent="0.3">
      <c r="C386" s="926"/>
      <c r="E386" s="533"/>
      <c r="F386" s="1157"/>
      <c r="G386" s="1157"/>
      <c r="H386" s="1157"/>
      <c r="I386" s="1157"/>
      <c r="J386" s="1157"/>
      <c r="K386" s="1157"/>
      <c r="L386" s="1157"/>
      <c r="M386" s="1157"/>
    </row>
    <row r="387" spans="3:15" ht="14.45" customHeight="1" x14ac:dyDescent="0.3">
      <c r="C387" s="926"/>
      <c r="E387" s="1204" t="s">
        <v>1033</v>
      </c>
      <c r="F387" s="1157" t="s">
        <v>1284</v>
      </c>
      <c r="G387" s="1157"/>
      <c r="H387" s="1157"/>
      <c r="I387" s="1157"/>
      <c r="J387" s="1157"/>
      <c r="K387" s="1157"/>
      <c r="L387" s="1157"/>
      <c r="M387" s="1157"/>
    </row>
    <row r="388" spans="3:15" ht="37.5" customHeight="1" x14ac:dyDescent="0.3">
      <c r="C388" s="926"/>
      <c r="E388" s="1204"/>
      <c r="F388" s="1157"/>
      <c r="G388" s="1157"/>
      <c r="H388" s="1157"/>
      <c r="I388" s="1157"/>
      <c r="J388" s="1157"/>
      <c r="K388" s="1157"/>
      <c r="L388" s="1157"/>
      <c r="M388" s="1157"/>
    </row>
    <row r="389" spans="3:15" ht="11.25" customHeight="1" x14ac:dyDescent="0.3">
      <c r="C389" s="926"/>
      <c r="E389" s="1204"/>
      <c r="F389" s="535"/>
      <c r="G389" s="535"/>
      <c r="H389" s="535"/>
      <c r="I389" s="535"/>
      <c r="J389" s="535"/>
      <c r="K389" s="535"/>
      <c r="L389" s="535"/>
      <c r="M389" s="534"/>
    </row>
    <row r="390" spans="3:15" ht="14.45" customHeight="1" x14ac:dyDescent="0.3">
      <c r="C390" s="926"/>
      <c r="E390" s="533" t="s">
        <v>1285</v>
      </c>
      <c r="F390" s="535"/>
      <c r="G390" s="535"/>
      <c r="H390" s="535"/>
      <c r="I390" s="535"/>
      <c r="J390" s="535"/>
      <c r="K390" s="535"/>
      <c r="L390" s="534"/>
      <c r="M390" s="534"/>
    </row>
    <row r="391" spans="3:15" ht="14.45" customHeight="1" x14ac:dyDescent="0.3">
      <c r="C391" s="926"/>
      <c r="D391" s="533"/>
      <c r="E391" s="535"/>
      <c r="F391" s="535"/>
      <c r="G391" s="535"/>
      <c r="H391" s="535"/>
      <c r="I391" s="535"/>
      <c r="J391" s="535"/>
      <c r="K391" s="535"/>
      <c r="L391" s="534"/>
      <c r="M391" s="534"/>
    </row>
    <row r="392" spans="3:15" ht="14.45" customHeight="1" x14ac:dyDescent="0.3">
      <c r="C392" s="926"/>
      <c r="E392" s="1158" t="s">
        <v>1036</v>
      </c>
      <c r="F392" s="1180" t="s">
        <v>1103</v>
      </c>
      <c r="G392" s="1180" t="s">
        <v>650</v>
      </c>
      <c r="H392" s="1180" t="s">
        <v>1105</v>
      </c>
      <c r="I392" s="1180" t="s">
        <v>1037</v>
      </c>
      <c r="J392" s="1205" t="s">
        <v>1607</v>
      </c>
      <c r="K392" s="1205"/>
      <c r="L392" s="1205"/>
      <c r="M392" s="1206"/>
      <c r="O392" s="620"/>
    </row>
    <row r="393" spans="3:15" ht="14.45" customHeight="1" x14ac:dyDescent="0.3">
      <c r="C393" s="926"/>
      <c r="E393" s="1159"/>
      <c r="F393" s="1181"/>
      <c r="G393" s="1181"/>
      <c r="H393" s="1181"/>
      <c r="I393" s="1181"/>
      <c r="J393" s="440" t="s">
        <v>283</v>
      </c>
      <c r="K393" s="440" t="s">
        <v>284</v>
      </c>
      <c r="L393" s="440" t="s">
        <v>285</v>
      </c>
      <c r="M393" s="441" t="s">
        <v>15</v>
      </c>
      <c r="O393" s="620"/>
    </row>
    <row r="394" spans="3:15" ht="53.25" customHeight="1" x14ac:dyDescent="0.3">
      <c r="C394" s="926"/>
      <c r="E394" s="900" t="s">
        <v>1286</v>
      </c>
      <c r="F394" s="1207" t="s">
        <v>1669</v>
      </c>
      <c r="G394" s="537" t="s">
        <v>1670</v>
      </c>
      <c r="H394" s="538" t="s">
        <v>1671</v>
      </c>
      <c r="I394" s="539">
        <v>10</v>
      </c>
      <c r="J394" s="951"/>
      <c r="K394" s="951"/>
      <c r="L394" s="951"/>
      <c r="M394" s="952"/>
      <c r="O394" s="620">
        <v>10000</v>
      </c>
    </row>
    <row r="395" spans="3:15" ht="118.5" customHeight="1" x14ac:dyDescent="0.3">
      <c r="C395" s="926"/>
      <c r="E395" s="950"/>
      <c r="F395" s="1208"/>
      <c r="G395" s="537" t="s">
        <v>1672</v>
      </c>
      <c r="H395" s="454" t="s">
        <v>1673</v>
      </c>
      <c r="I395" s="539">
        <v>100</v>
      </c>
      <c r="J395" s="951"/>
      <c r="K395" s="951"/>
      <c r="L395" s="951"/>
      <c r="M395" s="952"/>
      <c r="O395" s="620">
        <v>50000</v>
      </c>
    </row>
    <row r="396" spans="3:15" ht="102.75" customHeight="1" x14ac:dyDescent="0.3">
      <c r="C396" s="926"/>
      <c r="E396" s="950"/>
      <c r="F396" s="1208"/>
      <c r="G396" s="451" t="s">
        <v>1674</v>
      </c>
      <c r="H396" s="454" t="s">
        <v>1675</v>
      </c>
      <c r="I396" s="539">
        <v>10</v>
      </c>
      <c r="J396" s="951"/>
      <c r="K396" s="951"/>
      <c r="L396" s="951"/>
      <c r="M396" s="952"/>
      <c r="O396" s="620">
        <v>10000</v>
      </c>
    </row>
    <row r="397" spans="3:15" ht="103.5" customHeight="1" x14ac:dyDescent="0.3">
      <c r="C397" s="926"/>
      <c r="E397" s="950"/>
      <c r="F397" s="1208"/>
      <c r="G397" s="451" t="s">
        <v>1676</v>
      </c>
      <c r="H397" s="454" t="s">
        <v>1677</v>
      </c>
      <c r="I397" s="539">
        <v>200</v>
      </c>
      <c r="J397" s="951"/>
      <c r="K397" s="951"/>
      <c r="L397" s="951"/>
      <c r="M397" s="952"/>
      <c r="O397" s="620">
        <v>30000</v>
      </c>
    </row>
    <row r="398" spans="3:15" ht="43.5" customHeight="1" x14ac:dyDescent="0.3">
      <c r="C398" s="926"/>
      <c r="E398" s="540"/>
      <c r="F398" s="1209"/>
      <c r="G398" s="451" t="s">
        <v>1678</v>
      </c>
      <c r="H398" s="454" t="s">
        <v>1679</v>
      </c>
      <c r="I398" s="539">
        <v>200</v>
      </c>
      <c r="J398" s="1064"/>
      <c r="K398" s="951"/>
      <c r="L398" s="951"/>
      <c r="M398" s="952"/>
      <c r="O398" s="620">
        <v>30000</v>
      </c>
    </row>
    <row r="399" spans="3:15" ht="91.5" customHeight="1" x14ac:dyDescent="0.3">
      <c r="C399" s="926"/>
      <c r="E399" s="900" t="s">
        <v>1286</v>
      </c>
      <c r="F399" s="1207" t="s">
        <v>1287</v>
      </c>
      <c r="G399" s="1207" t="s">
        <v>1716</v>
      </c>
      <c r="H399" s="538" t="s">
        <v>1666</v>
      </c>
      <c r="I399" s="539">
        <v>40</v>
      </c>
      <c r="J399" s="1210">
        <f>'[1]LBP NO. 2'!M652</f>
        <v>2685850.8</v>
      </c>
      <c r="K399" s="1211">
        <f>'[1]LBP NO. 2'!M662</f>
        <v>2433040</v>
      </c>
      <c r="L399" s="1211">
        <f>'[1]LBP NO. 2'!M668</f>
        <v>190000</v>
      </c>
      <c r="M399" s="1212">
        <f>SUM(J399:L414)</f>
        <v>5308890.8</v>
      </c>
      <c r="O399" s="620">
        <v>150000</v>
      </c>
    </row>
    <row r="400" spans="3:15" ht="57" customHeight="1" x14ac:dyDescent="0.3">
      <c r="C400" s="926"/>
      <c r="E400" s="950"/>
      <c r="F400" s="1208"/>
      <c r="G400" s="1208"/>
      <c r="H400" s="454" t="s">
        <v>1667</v>
      </c>
      <c r="I400" s="539">
        <v>75</v>
      </c>
      <c r="J400" s="1210"/>
      <c r="K400" s="1211"/>
      <c r="L400" s="1211"/>
      <c r="M400" s="1212"/>
      <c r="O400" s="620">
        <v>20000</v>
      </c>
    </row>
    <row r="401" spans="3:15" ht="59.25" customHeight="1" x14ac:dyDescent="0.3">
      <c r="C401" s="926"/>
      <c r="E401" s="540"/>
      <c r="F401" s="1209"/>
      <c r="G401" s="1209"/>
      <c r="H401" s="454" t="s">
        <v>1668</v>
      </c>
      <c r="I401" s="539">
        <v>21</v>
      </c>
      <c r="J401" s="1210"/>
      <c r="K401" s="1211"/>
      <c r="L401" s="1211"/>
      <c r="M401" s="1212"/>
      <c r="O401" s="620">
        <v>14280</v>
      </c>
    </row>
    <row r="402" spans="3:15" ht="87.75" customHeight="1" x14ac:dyDescent="0.3">
      <c r="C402" s="926"/>
      <c r="E402" s="541" t="s">
        <v>1286</v>
      </c>
      <c r="F402" s="451" t="s">
        <v>1534</v>
      </c>
      <c r="G402" s="451" t="s">
        <v>1680</v>
      </c>
      <c r="H402" s="454" t="s">
        <v>1681</v>
      </c>
      <c r="I402" s="539">
        <v>400</v>
      </c>
      <c r="J402" s="1210"/>
      <c r="K402" s="1211"/>
      <c r="L402" s="1211"/>
      <c r="M402" s="1212"/>
      <c r="O402" s="620">
        <v>100000</v>
      </c>
    </row>
    <row r="403" spans="3:15" ht="87.75" customHeight="1" x14ac:dyDescent="0.3">
      <c r="C403" s="926"/>
      <c r="E403" s="541" t="s">
        <v>1286</v>
      </c>
      <c r="F403" s="451" t="s">
        <v>1682</v>
      </c>
      <c r="G403" s="451" t="s">
        <v>1683</v>
      </c>
      <c r="H403" s="454" t="s">
        <v>1684</v>
      </c>
      <c r="I403" s="539">
        <v>21</v>
      </c>
      <c r="J403" s="1210"/>
      <c r="K403" s="1211"/>
      <c r="L403" s="1211"/>
      <c r="M403" s="1212"/>
      <c r="O403" s="620">
        <v>14280</v>
      </c>
    </row>
    <row r="404" spans="3:15" ht="108" customHeight="1" x14ac:dyDescent="0.3">
      <c r="C404" s="926"/>
      <c r="E404" s="540" t="s">
        <v>1286</v>
      </c>
      <c r="F404" s="451" t="s">
        <v>1685</v>
      </c>
      <c r="G404" s="454" t="s">
        <v>1686</v>
      </c>
      <c r="H404" s="454" t="s">
        <v>1687</v>
      </c>
      <c r="I404" s="539">
        <v>800</v>
      </c>
      <c r="J404" s="1210"/>
      <c r="K404" s="1211"/>
      <c r="L404" s="1211"/>
      <c r="M404" s="1212"/>
      <c r="O404" s="620">
        <v>55000</v>
      </c>
    </row>
    <row r="405" spans="3:15" ht="71.25" customHeight="1" x14ac:dyDescent="0.3">
      <c r="C405" s="926"/>
      <c r="E405" s="540" t="s">
        <v>1286</v>
      </c>
      <c r="F405" s="451" t="s">
        <v>1288</v>
      </c>
      <c r="G405" s="454" t="s">
        <v>1688</v>
      </c>
      <c r="H405" s="454" t="s">
        <v>1689</v>
      </c>
      <c r="I405" s="539">
        <v>800</v>
      </c>
      <c r="J405" s="1210"/>
      <c r="K405" s="1211"/>
      <c r="L405" s="1211"/>
      <c r="M405" s="1212"/>
      <c r="O405" s="620">
        <v>50000</v>
      </c>
    </row>
    <row r="406" spans="3:15" ht="84" customHeight="1" x14ac:dyDescent="0.3">
      <c r="C406" s="926"/>
      <c r="E406" s="540" t="s">
        <v>1286</v>
      </c>
      <c r="F406" s="451" t="s">
        <v>1690</v>
      </c>
      <c r="G406" s="454" t="s">
        <v>1691</v>
      </c>
      <c r="H406" s="454" t="s">
        <v>1692</v>
      </c>
      <c r="I406" s="539">
        <v>24</v>
      </c>
      <c r="J406" s="1210"/>
      <c r="K406" s="1211"/>
      <c r="L406" s="1211"/>
      <c r="M406" s="1212"/>
      <c r="O406" s="620">
        <v>50000</v>
      </c>
    </row>
    <row r="407" spans="3:15" ht="123" customHeight="1" x14ac:dyDescent="0.3">
      <c r="C407" s="926"/>
      <c r="E407" s="536" t="s">
        <v>1286</v>
      </c>
      <c r="F407" s="537" t="s">
        <v>1693</v>
      </c>
      <c r="G407" s="538" t="s">
        <v>1696</v>
      </c>
      <c r="H407" s="538" t="s">
        <v>1697</v>
      </c>
      <c r="I407" s="539">
        <v>92</v>
      </c>
      <c r="J407" s="1210"/>
      <c r="K407" s="1211"/>
      <c r="L407" s="1211"/>
      <c r="M407" s="1212"/>
      <c r="O407" s="620">
        <v>25000</v>
      </c>
    </row>
    <row r="408" spans="3:15" ht="78.75" customHeight="1" x14ac:dyDescent="0.3">
      <c r="C408" s="926"/>
      <c r="E408" s="536" t="s">
        <v>1286</v>
      </c>
      <c r="F408" s="537" t="s">
        <v>1694</v>
      </c>
      <c r="G408" s="538" t="s">
        <v>1695</v>
      </c>
      <c r="H408" s="538" t="s">
        <v>1698</v>
      </c>
      <c r="I408" s="539">
        <v>2000</v>
      </c>
      <c r="J408" s="1210"/>
      <c r="K408" s="1211"/>
      <c r="L408" s="1211"/>
      <c r="M408" s="1212"/>
      <c r="O408" s="620">
        <v>15000</v>
      </c>
    </row>
    <row r="409" spans="3:15" ht="109.5" customHeight="1" x14ac:dyDescent="0.3">
      <c r="C409" s="926"/>
      <c r="E409" s="900" t="s">
        <v>1286</v>
      </c>
      <c r="F409" s="451" t="s">
        <v>1699</v>
      </c>
      <c r="G409" s="454" t="s">
        <v>1700</v>
      </c>
      <c r="H409" s="454" t="s">
        <v>1701</v>
      </c>
      <c r="I409" s="539">
        <v>42</v>
      </c>
      <c r="J409" s="1210"/>
      <c r="K409" s="1211"/>
      <c r="L409" s="1211"/>
      <c r="M409" s="1212"/>
      <c r="O409" s="620">
        <v>20000</v>
      </c>
    </row>
    <row r="410" spans="3:15" ht="109.5" customHeight="1" x14ac:dyDescent="0.3">
      <c r="C410" s="926"/>
      <c r="E410" s="900" t="s">
        <v>1286</v>
      </c>
      <c r="F410" s="451" t="s">
        <v>1702</v>
      </c>
      <c r="G410" s="454" t="s">
        <v>1703</v>
      </c>
      <c r="H410" s="454" t="s">
        <v>1704</v>
      </c>
      <c r="I410" s="539">
        <v>250</v>
      </c>
      <c r="J410" s="1210"/>
      <c r="K410" s="1211"/>
      <c r="L410" s="1211"/>
      <c r="M410" s="1212"/>
      <c r="O410" s="620">
        <v>50000</v>
      </c>
    </row>
    <row r="411" spans="3:15" ht="109.5" customHeight="1" x14ac:dyDescent="0.3">
      <c r="C411" s="926"/>
      <c r="E411" s="541" t="s">
        <v>1286</v>
      </c>
      <c r="F411" s="451" t="s">
        <v>1705</v>
      </c>
      <c r="G411" s="454" t="s">
        <v>1706</v>
      </c>
      <c r="H411" s="454" t="s">
        <v>1707</v>
      </c>
      <c r="I411" s="539">
        <v>21</v>
      </c>
      <c r="J411" s="1210"/>
      <c r="K411" s="1211"/>
      <c r="L411" s="1211"/>
      <c r="M411" s="1212"/>
      <c r="O411" s="620">
        <v>14280</v>
      </c>
    </row>
    <row r="412" spans="3:15" ht="109.5" customHeight="1" x14ac:dyDescent="0.3">
      <c r="C412" s="926"/>
      <c r="E412" s="900" t="s">
        <v>1286</v>
      </c>
      <c r="F412" s="451" t="s">
        <v>1708</v>
      </c>
      <c r="G412" s="454" t="s">
        <v>1709</v>
      </c>
      <c r="H412" s="454" t="s">
        <v>1710</v>
      </c>
      <c r="I412" s="539">
        <v>224</v>
      </c>
      <c r="J412" s="1210"/>
      <c r="K412" s="1211"/>
      <c r="L412" s="1211"/>
      <c r="M412" s="1212"/>
      <c r="O412" s="620">
        <v>530000</v>
      </c>
    </row>
    <row r="413" spans="3:15" ht="110.25" customHeight="1" x14ac:dyDescent="0.3">
      <c r="C413" s="926"/>
      <c r="E413" s="540" t="s">
        <v>1286</v>
      </c>
      <c r="F413" s="451" t="s">
        <v>1289</v>
      </c>
      <c r="G413" s="454" t="s">
        <v>1711</v>
      </c>
      <c r="H413" s="454" t="s">
        <v>1712</v>
      </c>
      <c r="I413" s="539">
        <v>8</v>
      </c>
      <c r="J413" s="1210"/>
      <c r="K413" s="1211"/>
      <c r="L413" s="1211"/>
      <c r="M413" s="1212"/>
      <c r="O413" s="620">
        <v>40000</v>
      </c>
    </row>
    <row r="414" spans="3:15" ht="84" customHeight="1" x14ac:dyDescent="0.3">
      <c r="C414" s="926"/>
      <c r="E414" s="540" t="s">
        <v>1286</v>
      </c>
      <c r="F414" s="451" t="s">
        <v>1713</v>
      </c>
      <c r="G414" s="454" t="s">
        <v>1714</v>
      </c>
      <c r="H414" s="454" t="s">
        <v>1715</v>
      </c>
      <c r="I414" s="539">
        <v>40</v>
      </c>
      <c r="J414" s="1210"/>
      <c r="K414" s="1211"/>
      <c r="L414" s="1211"/>
      <c r="M414" s="1212"/>
      <c r="O414" s="620">
        <v>560000</v>
      </c>
    </row>
    <row r="415" spans="3:15" ht="16.5" customHeight="1" x14ac:dyDescent="0.3">
      <c r="C415" s="1169"/>
      <c r="D415" s="543"/>
      <c r="E415" s="544"/>
      <c r="F415" s="537"/>
      <c r="G415" s="538"/>
      <c r="H415" s="538"/>
      <c r="I415" s="542"/>
      <c r="J415" s="545">
        <f>SUM(J399:J414)</f>
        <v>2685850.8</v>
      </c>
      <c r="K415" s="546">
        <f>SUM(K399:K414)</f>
        <v>2433040</v>
      </c>
      <c r="L415" s="546">
        <f>SUM(L399:L414)</f>
        <v>190000</v>
      </c>
      <c r="M415" s="547">
        <f>SUM(M399:M414)</f>
        <v>5308890.8</v>
      </c>
      <c r="O415" s="620">
        <f>SUM(O394:O414)</f>
        <v>1837840</v>
      </c>
    </row>
    <row r="416" spans="3:15" ht="14.45" customHeight="1" x14ac:dyDescent="0.3">
      <c r="C416" s="1169"/>
      <c r="D416" s="543"/>
      <c r="E416" s="433"/>
      <c r="F416" s="548"/>
      <c r="G416" s="549"/>
      <c r="H416" s="549"/>
      <c r="I416" s="550"/>
      <c r="J416" s="551"/>
      <c r="K416" s="551"/>
      <c r="L416" s="551"/>
      <c r="M416" s="551"/>
    </row>
    <row r="417" spans="3:13" ht="14.45" customHeight="1" x14ac:dyDescent="0.3">
      <c r="C417" s="1169"/>
      <c r="D417" s="543"/>
      <c r="E417" s="433"/>
      <c r="F417" s="548"/>
      <c r="G417" s="549"/>
      <c r="H417" s="549"/>
      <c r="I417" s="550"/>
      <c r="J417" s="551"/>
      <c r="K417" s="551"/>
      <c r="L417" s="551"/>
      <c r="M417" s="551"/>
    </row>
    <row r="418" spans="3:13" ht="14.45" customHeight="1" x14ac:dyDescent="0.3">
      <c r="C418" s="1169"/>
      <c r="D418" s="552"/>
      <c r="E418" s="552"/>
      <c r="F418" s="553"/>
      <c r="G418" s="549"/>
      <c r="H418" s="458"/>
      <c r="I418" s="458"/>
      <c r="J418" s="470"/>
      <c r="K418" s="470"/>
      <c r="L418" s="470"/>
      <c r="M418" s="470"/>
    </row>
    <row r="419" spans="3:13" ht="14.45" customHeight="1" x14ac:dyDescent="0.3">
      <c r="C419" s="1169"/>
      <c r="E419" s="433" t="s">
        <v>1066</v>
      </c>
      <c r="F419" s="471"/>
      <c r="G419" s="471" t="s">
        <v>1067</v>
      </c>
      <c r="H419" s="471"/>
      <c r="I419" s="471"/>
      <c r="J419" s="470"/>
      <c r="K419" s="470"/>
      <c r="L419" s="470"/>
      <c r="M419" s="470"/>
    </row>
    <row r="420" spans="3:13" ht="14.45" customHeight="1" x14ac:dyDescent="0.3">
      <c r="C420" s="1169"/>
      <c r="D420" s="433"/>
      <c r="E420" s="433"/>
      <c r="F420" s="433"/>
      <c r="G420" s="433"/>
      <c r="H420" s="433"/>
      <c r="I420" s="433"/>
      <c r="J420" s="433"/>
      <c r="K420" s="433"/>
      <c r="L420" s="433"/>
      <c r="M420" s="433"/>
    </row>
    <row r="421" spans="3:13" ht="14.45" customHeight="1" x14ac:dyDescent="0.3">
      <c r="C421" s="1169"/>
      <c r="E421" s="1194" t="s">
        <v>941</v>
      </c>
      <c r="F421" s="1194"/>
      <c r="G421" s="1195" t="s">
        <v>260</v>
      </c>
      <c r="H421" s="1195"/>
      <c r="I421" s="1196" t="s">
        <v>17</v>
      </c>
      <c r="J421" s="1196"/>
      <c r="K421" s="469"/>
      <c r="L421" s="1148" t="s">
        <v>91</v>
      </c>
      <c r="M421" s="1148"/>
    </row>
    <row r="422" spans="3:13" ht="14.45" customHeight="1" x14ac:dyDescent="0.3">
      <c r="C422" s="1169"/>
      <c r="E422" s="1197" t="s">
        <v>1290</v>
      </c>
      <c r="F422" s="1197"/>
      <c r="G422" s="1198" t="s">
        <v>13</v>
      </c>
      <c r="H422" s="1198"/>
      <c r="I422" s="1199" t="s">
        <v>18</v>
      </c>
      <c r="J422" s="1199"/>
      <c r="K422" s="469"/>
      <c r="L422" s="1149" t="s">
        <v>1021</v>
      </c>
      <c r="M422" s="1149"/>
    </row>
    <row r="423" spans="3:13" ht="14.45" customHeight="1" x14ac:dyDescent="0.3">
      <c r="C423" s="1169"/>
      <c r="E423" s="554"/>
      <c r="F423" s="554"/>
      <c r="G423" s="473"/>
      <c r="H423" s="473"/>
      <c r="I423" s="555"/>
      <c r="J423" s="555"/>
      <c r="K423" s="469"/>
      <c r="L423" s="473"/>
      <c r="M423" s="473"/>
    </row>
    <row r="424" spans="3:13" ht="14.45" customHeight="1" x14ac:dyDescent="0.3">
      <c r="C424" s="1169"/>
      <c r="E424" s="474" t="s">
        <v>264</v>
      </c>
      <c r="F424" s="433"/>
      <c r="G424" s="433"/>
      <c r="H424" s="433"/>
      <c r="I424" s="475"/>
      <c r="J424" s="433"/>
      <c r="K424" s="433"/>
      <c r="L424" s="475"/>
      <c r="M424" s="433"/>
    </row>
    <row r="425" spans="3:13" ht="14.45" customHeight="1" x14ac:dyDescent="0.3">
      <c r="C425" s="1169"/>
      <c r="D425" s="476"/>
      <c r="E425" s="476"/>
      <c r="F425" s="433"/>
      <c r="G425" s="433"/>
      <c r="H425" s="433"/>
      <c r="I425" s="477"/>
      <c r="J425" s="433"/>
      <c r="K425" s="433"/>
      <c r="L425" s="477"/>
      <c r="M425" s="433"/>
    </row>
    <row r="426" spans="3:13" ht="14.45" customHeight="1" x14ac:dyDescent="0.3">
      <c r="C426" s="1169"/>
      <c r="E426" s="1148" t="s">
        <v>1495</v>
      </c>
      <c r="F426" s="1148"/>
      <c r="G426" s="479"/>
      <c r="H426" s="480"/>
      <c r="I426" s="480"/>
      <c r="J426" s="556"/>
      <c r="K426" s="476"/>
      <c r="L426" s="474"/>
      <c r="M426" s="474"/>
    </row>
    <row r="427" spans="3:13" ht="14.45" customHeight="1" x14ac:dyDescent="0.3">
      <c r="C427" s="1169"/>
      <c r="E427" s="1149" t="s">
        <v>14</v>
      </c>
      <c r="F427" s="1149"/>
      <c r="G427" s="481"/>
      <c r="H427" s="482"/>
      <c r="I427" s="480"/>
      <c r="J427" s="556"/>
      <c r="K427" s="476"/>
      <c r="L427" s="478"/>
      <c r="M427" s="474"/>
    </row>
    <row r="428" spans="3:13" ht="14.45" customHeight="1" x14ac:dyDescent="0.3">
      <c r="E428" s="473"/>
      <c r="F428" s="473"/>
      <c r="G428" s="481"/>
      <c r="H428" s="482"/>
      <c r="I428" s="480"/>
      <c r="J428" s="556"/>
      <c r="K428" s="476"/>
      <c r="L428" s="478"/>
      <c r="M428" s="474"/>
    </row>
    <row r="429" spans="3:13" ht="14.45" customHeight="1" x14ac:dyDescent="0.3">
      <c r="E429" s="473"/>
      <c r="F429" s="473"/>
      <c r="G429" s="481"/>
      <c r="H429" s="482"/>
      <c r="I429" s="480"/>
      <c r="J429" s="556"/>
      <c r="K429" s="476"/>
      <c r="L429" s="478"/>
      <c r="M429" s="474"/>
    </row>
    <row r="430" spans="3:13" ht="14.45" customHeight="1" x14ac:dyDescent="0.3">
      <c r="E430" s="473"/>
      <c r="F430" s="473"/>
      <c r="G430" s="481"/>
      <c r="H430" s="482"/>
      <c r="I430" s="480"/>
      <c r="J430" s="556"/>
      <c r="K430" s="476"/>
      <c r="L430" s="478"/>
      <c r="M430" s="474"/>
    </row>
    <row r="431" spans="3:13" ht="14.45" customHeight="1" x14ac:dyDescent="0.3">
      <c r="E431" s="473"/>
      <c r="F431" s="473"/>
      <c r="G431" s="481"/>
      <c r="H431" s="482"/>
      <c r="I431" s="480"/>
      <c r="J431" s="556"/>
      <c r="K431" s="476"/>
      <c r="L431" s="478"/>
      <c r="M431" s="474"/>
    </row>
    <row r="432" spans="3:13" ht="14.45" customHeight="1" x14ac:dyDescent="0.3">
      <c r="E432" s="473"/>
      <c r="F432" s="473"/>
      <c r="G432" s="481"/>
      <c r="H432" s="482"/>
      <c r="I432" s="480"/>
      <c r="J432" s="556"/>
      <c r="K432" s="476"/>
      <c r="L432" s="478"/>
      <c r="M432" s="474"/>
    </row>
    <row r="433" spans="5:13" ht="14.45" customHeight="1" x14ac:dyDescent="0.3">
      <c r="E433" s="473"/>
      <c r="F433" s="473"/>
      <c r="G433" s="481"/>
      <c r="H433" s="482"/>
      <c r="I433" s="480"/>
      <c r="J433" s="556"/>
      <c r="K433" s="476"/>
      <c r="L433" s="478"/>
      <c r="M433" s="474"/>
    </row>
    <row r="434" spans="5:13" ht="14.45" customHeight="1" x14ac:dyDescent="0.3">
      <c r="E434" s="473"/>
      <c r="F434" s="473"/>
      <c r="G434" s="481"/>
      <c r="H434" s="482"/>
      <c r="I434" s="480"/>
      <c r="J434" s="556"/>
      <c r="K434" s="476"/>
      <c r="L434" s="478"/>
      <c r="M434" s="474"/>
    </row>
    <row r="435" spans="5:13" ht="14.45" customHeight="1" x14ac:dyDescent="0.3">
      <c r="E435" s="473"/>
      <c r="F435" s="473"/>
      <c r="G435" s="481"/>
      <c r="H435" s="482"/>
      <c r="I435" s="480"/>
      <c r="J435" s="556"/>
      <c r="K435" s="476"/>
      <c r="L435" s="478"/>
      <c r="M435" s="474"/>
    </row>
    <row r="436" spans="5:13" ht="14.45" customHeight="1" x14ac:dyDescent="0.3">
      <c r="E436" s="473"/>
      <c r="F436" s="473"/>
      <c r="G436" s="481"/>
      <c r="H436" s="482"/>
      <c r="I436" s="480"/>
      <c r="J436" s="556"/>
      <c r="K436" s="476"/>
      <c r="L436" s="478"/>
      <c r="M436" s="474"/>
    </row>
    <row r="437" spans="5:13" ht="14.45" customHeight="1" x14ac:dyDescent="0.3">
      <c r="E437" s="473"/>
      <c r="F437" s="473"/>
      <c r="G437" s="481"/>
      <c r="H437" s="482"/>
      <c r="I437" s="480"/>
      <c r="J437" s="556"/>
      <c r="K437" s="476"/>
      <c r="L437" s="478"/>
      <c r="M437" s="474"/>
    </row>
    <row r="438" spans="5:13" ht="14.45" customHeight="1" x14ac:dyDescent="0.3">
      <c r="E438" s="473"/>
      <c r="F438" s="473"/>
      <c r="G438" s="481"/>
      <c r="H438" s="482"/>
      <c r="I438" s="480"/>
      <c r="J438" s="556"/>
      <c r="K438" s="476"/>
      <c r="L438" s="478"/>
      <c r="M438" s="474"/>
    </row>
    <row r="439" spans="5:13" ht="14.45" customHeight="1" x14ac:dyDescent="0.3">
      <c r="E439" s="473"/>
      <c r="F439" s="473"/>
      <c r="G439" s="481"/>
      <c r="H439" s="482"/>
      <c r="I439" s="480"/>
      <c r="J439" s="556"/>
      <c r="K439" s="476"/>
      <c r="L439" s="478"/>
      <c r="M439" s="474"/>
    </row>
    <row r="440" spans="5:13" ht="14.45" customHeight="1" x14ac:dyDescent="0.3">
      <c r="E440" s="473"/>
      <c r="F440" s="473"/>
      <c r="G440" s="481"/>
      <c r="H440" s="482"/>
      <c r="I440" s="480"/>
      <c r="J440" s="556"/>
      <c r="K440" s="476"/>
      <c r="L440" s="478"/>
      <c r="M440" s="474"/>
    </row>
    <row r="441" spans="5:13" ht="14.45" customHeight="1" x14ac:dyDescent="0.3">
      <c r="E441" s="473"/>
      <c r="F441" s="473"/>
      <c r="G441" s="481"/>
      <c r="H441" s="482"/>
      <c r="I441" s="480"/>
      <c r="J441" s="556"/>
      <c r="K441" s="476"/>
      <c r="L441" s="478"/>
      <c r="M441" s="474"/>
    </row>
    <row r="442" spans="5:13" ht="14.45" customHeight="1" x14ac:dyDescent="0.3">
      <c r="E442" s="473"/>
      <c r="F442" s="473"/>
      <c r="G442" s="481"/>
      <c r="H442" s="482"/>
      <c r="I442" s="480"/>
      <c r="J442" s="556"/>
      <c r="K442" s="476"/>
      <c r="L442" s="478"/>
      <c r="M442" s="474"/>
    </row>
    <row r="443" spans="5:13" ht="14.45" customHeight="1" x14ac:dyDescent="0.3">
      <c r="E443" s="473"/>
      <c r="F443" s="473"/>
      <c r="G443" s="481"/>
      <c r="H443" s="482"/>
      <c r="I443" s="480"/>
      <c r="J443" s="556"/>
      <c r="K443" s="476"/>
      <c r="L443" s="478"/>
      <c r="M443" s="474"/>
    </row>
    <row r="444" spans="5:13" ht="14.45" customHeight="1" x14ac:dyDescent="0.3">
      <c r="E444" s="473"/>
      <c r="F444" s="473"/>
      <c r="G444" s="481"/>
      <c r="H444" s="482"/>
      <c r="I444" s="480"/>
      <c r="J444" s="556"/>
      <c r="K444" s="476"/>
      <c r="L444" s="478"/>
      <c r="M444" s="474"/>
    </row>
    <row r="445" spans="5:13" ht="14.45" customHeight="1" x14ac:dyDescent="0.3">
      <c r="E445" s="473"/>
      <c r="F445" s="473"/>
      <c r="G445" s="481"/>
      <c r="H445" s="482"/>
      <c r="I445" s="480"/>
      <c r="J445" s="556"/>
      <c r="K445" s="476"/>
      <c r="L445" s="478"/>
      <c r="M445" s="474"/>
    </row>
    <row r="446" spans="5:13" ht="14.45" customHeight="1" x14ac:dyDescent="0.3">
      <c r="E446" s="473"/>
      <c r="F446" s="473"/>
      <c r="G446" s="481"/>
      <c r="H446" s="482"/>
      <c r="I446" s="480"/>
      <c r="J446" s="556"/>
      <c r="K446" s="476"/>
      <c r="L446" s="478"/>
      <c r="M446" s="474"/>
    </row>
    <row r="447" spans="5:13" ht="14.45" customHeight="1" x14ac:dyDescent="0.3">
      <c r="E447" s="473"/>
      <c r="F447" s="473"/>
      <c r="G447" s="481"/>
      <c r="H447" s="482"/>
      <c r="I447" s="480"/>
      <c r="J447" s="556"/>
      <c r="K447" s="476"/>
      <c r="L447" s="478"/>
      <c r="M447" s="474"/>
    </row>
    <row r="448" spans="5:13" ht="14.45" customHeight="1" x14ac:dyDescent="0.3">
      <c r="E448" s="473"/>
      <c r="F448" s="473"/>
      <c r="G448" s="481"/>
      <c r="H448" s="482"/>
      <c r="I448" s="480"/>
      <c r="J448" s="556"/>
      <c r="K448" s="476"/>
      <c r="L448" s="478"/>
      <c r="M448" s="474"/>
    </row>
    <row r="449" spans="3:14" ht="14.45" customHeight="1" x14ac:dyDescent="0.3">
      <c r="E449" s="473"/>
      <c r="F449" s="473"/>
      <c r="G449" s="481"/>
      <c r="H449" s="482"/>
      <c r="I449" s="480"/>
      <c r="J449" s="556"/>
      <c r="K449" s="476"/>
      <c r="L449" s="478"/>
      <c r="M449" s="474"/>
    </row>
    <row r="450" spans="3:14" ht="14.45" customHeight="1" x14ac:dyDescent="0.3">
      <c r="E450" s="473"/>
      <c r="F450" s="473"/>
      <c r="G450" s="481"/>
      <c r="H450" s="482"/>
      <c r="I450" s="480"/>
      <c r="J450" s="556"/>
      <c r="K450" s="476"/>
      <c r="L450" s="478"/>
      <c r="M450" s="474"/>
    </row>
    <row r="451" spans="3:14" ht="14.45" customHeight="1" x14ac:dyDescent="0.3">
      <c r="E451" s="473"/>
      <c r="F451" s="473"/>
      <c r="G451" s="481"/>
      <c r="H451" s="482"/>
      <c r="I451" s="480"/>
      <c r="J451" s="556"/>
      <c r="K451" s="476"/>
      <c r="L451" s="478"/>
      <c r="M451" s="474"/>
    </row>
    <row r="452" spans="3:14" ht="14.45" customHeight="1" x14ac:dyDescent="0.3">
      <c r="E452" s="473"/>
      <c r="F452" s="473"/>
      <c r="G452" s="481"/>
      <c r="H452" s="482"/>
      <c r="I452" s="480"/>
      <c r="J452" s="556"/>
      <c r="K452" s="476"/>
      <c r="L452" s="478"/>
      <c r="M452" s="474"/>
    </row>
    <row r="453" spans="3:14" ht="14.45" customHeight="1" x14ac:dyDescent="0.3">
      <c r="E453" s="473"/>
      <c r="F453" s="473"/>
      <c r="G453" s="481"/>
      <c r="H453" s="482"/>
      <c r="I453" s="480"/>
      <c r="J453" s="556"/>
      <c r="K453" s="476"/>
      <c r="L453" s="478"/>
      <c r="M453" s="474"/>
    </row>
    <row r="454" spans="3:14" ht="14.45" customHeight="1" x14ac:dyDescent="0.3">
      <c r="E454" s="473"/>
      <c r="F454" s="473"/>
      <c r="G454" s="481"/>
      <c r="H454" s="482"/>
      <c r="I454" s="480"/>
      <c r="J454" s="556"/>
      <c r="K454" s="476"/>
      <c r="L454" s="478"/>
      <c r="M454" s="474"/>
    </row>
    <row r="455" spans="3:14" ht="15.95" customHeight="1" x14ac:dyDescent="0.3">
      <c r="E455" s="473"/>
      <c r="F455" s="473"/>
      <c r="G455" s="481"/>
      <c r="H455" s="482"/>
      <c r="I455" s="480"/>
      <c r="J455" s="556"/>
      <c r="K455" s="476"/>
      <c r="L455" s="478"/>
      <c r="M455" s="474"/>
    </row>
    <row r="456" spans="3:14" ht="14.45" customHeight="1" x14ac:dyDescent="0.3">
      <c r="D456" s="433"/>
      <c r="E456" s="433"/>
      <c r="F456" s="433"/>
      <c r="G456" s="433"/>
      <c r="H456" s="433"/>
      <c r="I456" s="433"/>
      <c r="J456" s="433"/>
      <c r="K456" s="433"/>
      <c r="L456" s="433"/>
      <c r="M456" s="433"/>
      <c r="N456" s="433"/>
    </row>
    <row r="457" spans="3:14" ht="14.45" customHeight="1" x14ac:dyDescent="0.3">
      <c r="C457" s="926" t="s">
        <v>1291</v>
      </c>
      <c r="D457" s="1201" t="s">
        <v>1601</v>
      </c>
      <c r="E457" s="1201"/>
      <c r="F457" s="1201"/>
      <c r="G457" s="1201"/>
      <c r="H457" s="1201"/>
      <c r="I457" s="1201"/>
      <c r="J457" s="1201"/>
      <c r="K457" s="1201"/>
      <c r="L457" s="1201"/>
      <c r="M457" s="1201"/>
      <c r="N457" s="1201"/>
    </row>
    <row r="458" spans="3:14" ht="14.45" customHeight="1" x14ac:dyDescent="0.3">
      <c r="C458" s="927"/>
      <c r="D458" s="1202" t="s">
        <v>182</v>
      </c>
      <c r="E458" s="1202"/>
      <c r="F458" s="1202"/>
      <c r="G458" s="1202"/>
      <c r="H458" s="1202"/>
      <c r="I458" s="1202"/>
      <c r="J458" s="1202"/>
      <c r="K458" s="1202"/>
      <c r="L458" s="1202"/>
      <c r="M458" s="1202"/>
      <c r="N458" s="1202"/>
    </row>
    <row r="459" spans="3:14" ht="14.45" customHeight="1" x14ac:dyDescent="0.3">
      <c r="C459" s="927"/>
      <c r="E459" s="531" t="s">
        <v>1027</v>
      </c>
      <c r="F459" s="532" t="s">
        <v>1292</v>
      </c>
      <c r="G459" s="533"/>
      <c r="H459" s="533"/>
      <c r="I459" s="533"/>
      <c r="J459" s="533"/>
      <c r="K459" s="533"/>
      <c r="L459" s="533"/>
      <c r="M459" s="533"/>
      <c r="N459" s="534"/>
    </row>
    <row r="460" spans="3:14" ht="14.45" customHeight="1" x14ac:dyDescent="0.3">
      <c r="C460" s="927"/>
      <c r="E460" s="531" t="s">
        <v>1029</v>
      </c>
      <c r="F460" s="557" t="s">
        <v>1293</v>
      </c>
      <c r="G460" s="533"/>
      <c r="H460" s="533"/>
      <c r="I460" s="533"/>
      <c r="J460" s="533"/>
      <c r="K460" s="533"/>
      <c r="L460" s="533"/>
      <c r="M460" s="533"/>
      <c r="N460" s="534"/>
    </row>
    <row r="461" spans="3:14" ht="14.45" customHeight="1" x14ac:dyDescent="0.3">
      <c r="C461" s="927"/>
      <c r="E461" s="531" t="s">
        <v>1031</v>
      </c>
      <c r="F461" s="1157" t="s">
        <v>1294</v>
      </c>
      <c r="G461" s="1157"/>
      <c r="H461" s="1157"/>
      <c r="I461" s="1157"/>
      <c r="J461" s="1157"/>
      <c r="K461" s="1157"/>
      <c r="L461" s="1157"/>
      <c r="M461" s="1157"/>
      <c r="N461" s="1157"/>
    </row>
    <row r="462" spans="3:14" ht="18.75" customHeight="1" x14ac:dyDescent="0.3">
      <c r="C462" s="927"/>
      <c r="E462" s="533"/>
      <c r="F462" s="1157"/>
      <c r="G462" s="1157"/>
      <c r="H462" s="1157"/>
      <c r="I462" s="1157"/>
      <c r="J462" s="1157"/>
      <c r="K462" s="1157"/>
      <c r="L462" s="1157"/>
      <c r="M462" s="1157"/>
      <c r="N462" s="1157"/>
    </row>
    <row r="463" spans="3:14" ht="14.45" customHeight="1" x14ac:dyDescent="0.3">
      <c r="C463" s="927"/>
      <c r="E463" s="531" t="s">
        <v>1033</v>
      </c>
      <c r="F463" s="1157" t="s">
        <v>1295</v>
      </c>
      <c r="G463" s="1157"/>
      <c r="H463" s="1157"/>
      <c r="I463" s="1157"/>
      <c r="J463" s="1157"/>
      <c r="K463" s="1157"/>
      <c r="L463" s="1157"/>
      <c r="M463" s="1157"/>
      <c r="N463" s="1157"/>
    </row>
    <row r="464" spans="3:14" ht="18.75" customHeight="1" x14ac:dyDescent="0.3">
      <c r="C464" s="927"/>
      <c r="E464" s="533"/>
      <c r="F464" s="1157"/>
      <c r="G464" s="1157"/>
      <c r="H464" s="1157"/>
      <c r="I464" s="1157"/>
      <c r="J464" s="1157"/>
      <c r="K464" s="1157"/>
      <c r="L464" s="1157"/>
      <c r="M464" s="1157"/>
      <c r="N464" s="1157"/>
    </row>
    <row r="465" spans="3:14" ht="18.75" customHeight="1" x14ac:dyDescent="0.3">
      <c r="C465" s="927"/>
      <c r="E465" s="531" t="s">
        <v>1296</v>
      </c>
      <c r="F465" s="535"/>
      <c r="G465" s="535"/>
      <c r="H465" s="535"/>
      <c r="I465" s="535"/>
      <c r="J465" s="535"/>
      <c r="K465" s="535"/>
      <c r="L465" s="535"/>
      <c r="M465" s="535"/>
      <c r="N465" s="534"/>
    </row>
    <row r="466" spans="3:14" ht="14.45" customHeight="1" x14ac:dyDescent="0.3">
      <c r="C466" s="927"/>
      <c r="D466" s="533"/>
      <c r="F466" s="558" t="s">
        <v>1297</v>
      </c>
      <c r="G466" s="558"/>
      <c r="H466" s="558"/>
      <c r="I466" s="558"/>
      <c r="J466" s="558"/>
      <c r="K466" s="558"/>
      <c r="L466" s="558"/>
      <c r="M466" s="558"/>
      <c r="N466" s="534"/>
    </row>
    <row r="467" spans="3:14" ht="14.45" customHeight="1" x14ac:dyDescent="0.3">
      <c r="C467" s="927"/>
      <c r="D467" s="433"/>
      <c r="E467" s="433"/>
      <c r="F467" s="433"/>
      <c r="G467" s="433"/>
      <c r="H467" s="433"/>
      <c r="I467" s="433"/>
      <c r="J467" s="433"/>
      <c r="K467" s="433"/>
      <c r="L467" s="433"/>
      <c r="M467" s="433"/>
      <c r="N467" s="433"/>
    </row>
    <row r="468" spans="3:14" ht="14.45" customHeight="1" x14ac:dyDescent="0.3">
      <c r="C468" s="927"/>
      <c r="D468" s="1200"/>
      <c r="E468" s="1158" t="s">
        <v>1036</v>
      </c>
      <c r="F468" s="1180" t="s">
        <v>1103</v>
      </c>
      <c r="G468" s="1180" t="s">
        <v>650</v>
      </c>
      <c r="H468" s="1180" t="s">
        <v>1105</v>
      </c>
      <c r="I468" s="1180" t="s">
        <v>1037</v>
      </c>
      <c r="J468" s="1182" t="s">
        <v>1607</v>
      </c>
      <c r="K468" s="1183"/>
      <c r="L468" s="1183"/>
      <c r="M468" s="1184"/>
    </row>
    <row r="469" spans="3:14" ht="18" customHeight="1" x14ac:dyDescent="0.3">
      <c r="C469" s="927"/>
      <c r="D469" s="1200"/>
      <c r="E469" s="1159"/>
      <c r="F469" s="1181"/>
      <c r="G469" s="1181"/>
      <c r="H469" s="1181"/>
      <c r="I469" s="1181"/>
      <c r="J469" s="440" t="s">
        <v>283</v>
      </c>
      <c r="K469" s="440" t="s">
        <v>284</v>
      </c>
      <c r="L469" s="440" t="s">
        <v>285</v>
      </c>
      <c r="M469" s="441" t="s">
        <v>15</v>
      </c>
    </row>
    <row r="470" spans="3:14" ht="14.45" customHeight="1" x14ac:dyDescent="0.3">
      <c r="C470" s="927"/>
      <c r="D470" s="559"/>
      <c r="E470" s="560" t="s">
        <v>1298</v>
      </c>
      <c r="F470" s="561" t="s">
        <v>1299</v>
      </c>
      <c r="G470" s="562"/>
      <c r="H470" s="459" t="s">
        <v>1129</v>
      </c>
      <c r="I470" s="563"/>
      <c r="J470" s="1185">
        <f>'[1]LBP NO. 2'!M719</f>
        <v>4217052</v>
      </c>
      <c r="K470" s="1188">
        <f>'[1]LBP NO. 2'!M729</f>
        <v>1264932.2</v>
      </c>
      <c r="L470" s="1188">
        <f>'[1]LBP NO. 2'!M735</f>
        <v>120000</v>
      </c>
      <c r="M470" s="1191">
        <f>SUM(J470:L495)</f>
        <v>5601984.2000000002</v>
      </c>
    </row>
    <row r="471" spans="3:14" ht="14.45" customHeight="1" x14ac:dyDescent="0.3">
      <c r="C471" s="927"/>
      <c r="D471" s="552"/>
      <c r="E471" s="564"/>
      <c r="F471" s="460"/>
      <c r="G471" s="562"/>
      <c r="H471" s="459"/>
      <c r="I471" s="563"/>
      <c r="J471" s="1186"/>
      <c r="K471" s="1189"/>
      <c r="L471" s="1189"/>
      <c r="M471" s="1192"/>
    </row>
    <row r="472" spans="3:14" ht="34.5" customHeight="1" x14ac:dyDescent="0.3">
      <c r="C472" s="927"/>
      <c r="D472" s="552"/>
      <c r="E472" s="564"/>
      <c r="F472" s="460" t="s">
        <v>302</v>
      </c>
      <c r="G472" s="549" t="s">
        <v>1526</v>
      </c>
      <c r="H472" s="459" t="s">
        <v>1300</v>
      </c>
      <c r="I472" s="549" t="s">
        <v>1527</v>
      </c>
      <c r="J472" s="1186"/>
      <c r="K472" s="1189"/>
      <c r="L472" s="1189"/>
      <c r="M472" s="1192"/>
    </row>
    <row r="473" spans="3:14" ht="14.45" customHeight="1" x14ac:dyDescent="0.3">
      <c r="C473" s="927"/>
      <c r="D473" s="559"/>
      <c r="E473" s="560" t="s">
        <v>1298</v>
      </c>
      <c r="F473" s="565" t="s">
        <v>1301</v>
      </c>
      <c r="G473" s="549"/>
      <c r="H473" s="467"/>
      <c r="I473" s="460"/>
      <c r="J473" s="1186"/>
      <c r="K473" s="1189"/>
      <c r="L473" s="1189"/>
      <c r="M473" s="1192"/>
    </row>
    <row r="474" spans="3:14" ht="53.25" customHeight="1" x14ac:dyDescent="0.3">
      <c r="C474" s="927"/>
      <c r="D474" s="552"/>
      <c r="E474" s="564"/>
      <c r="F474" s="460" t="s">
        <v>1302</v>
      </c>
      <c r="G474" s="549" t="s">
        <v>1303</v>
      </c>
      <c r="H474" s="459" t="s">
        <v>1304</v>
      </c>
      <c r="I474" s="459" t="s">
        <v>1305</v>
      </c>
      <c r="J474" s="1186"/>
      <c r="K474" s="1189"/>
      <c r="L474" s="1189"/>
      <c r="M474" s="1192"/>
    </row>
    <row r="475" spans="3:14" ht="40.5" customHeight="1" x14ac:dyDescent="0.3">
      <c r="C475" s="927"/>
      <c r="D475" s="552"/>
      <c r="E475" s="564"/>
      <c r="F475" s="566" t="s">
        <v>1306</v>
      </c>
      <c r="G475" s="549" t="s">
        <v>1307</v>
      </c>
      <c r="H475" s="459" t="s">
        <v>1308</v>
      </c>
      <c r="I475" s="459" t="s">
        <v>1309</v>
      </c>
      <c r="J475" s="1186"/>
      <c r="K475" s="1189"/>
      <c r="L475" s="1189"/>
      <c r="M475" s="1192"/>
    </row>
    <row r="476" spans="3:14" ht="69.75" customHeight="1" x14ac:dyDescent="0.3">
      <c r="C476" s="927"/>
      <c r="D476" s="559"/>
      <c r="E476" s="560"/>
      <c r="F476" s="460" t="s">
        <v>1310</v>
      </c>
      <c r="G476" s="549" t="s">
        <v>1311</v>
      </c>
      <c r="H476" s="459" t="s">
        <v>1304</v>
      </c>
      <c r="I476" s="459" t="s">
        <v>1305</v>
      </c>
      <c r="J476" s="1186"/>
      <c r="K476" s="1189"/>
      <c r="L476" s="1189"/>
      <c r="M476" s="1192"/>
    </row>
    <row r="477" spans="3:14" ht="36.75" customHeight="1" x14ac:dyDescent="0.3">
      <c r="C477" s="927"/>
      <c r="D477" s="559"/>
      <c r="E477" s="567"/>
      <c r="F477" s="451" t="s">
        <v>1306</v>
      </c>
      <c r="G477" s="450" t="s">
        <v>1307</v>
      </c>
      <c r="H477" s="454" t="s">
        <v>1308</v>
      </c>
      <c r="I477" s="454" t="s">
        <v>1309</v>
      </c>
      <c r="J477" s="1186"/>
      <c r="K477" s="1189"/>
      <c r="L477" s="1189"/>
      <c r="M477" s="1192"/>
    </row>
    <row r="478" spans="3:14" ht="90.75" customHeight="1" x14ac:dyDescent="0.3">
      <c r="C478" s="927"/>
      <c r="D478" s="559"/>
      <c r="E478" s="567"/>
      <c r="F478" s="451" t="s">
        <v>1312</v>
      </c>
      <c r="G478" s="450" t="s">
        <v>1313</v>
      </c>
      <c r="H478" s="468" t="s">
        <v>1314</v>
      </c>
      <c r="I478" s="568" t="s">
        <v>1315</v>
      </c>
      <c r="J478" s="1186"/>
      <c r="K478" s="1189"/>
      <c r="L478" s="1189"/>
      <c r="M478" s="1192"/>
    </row>
    <row r="479" spans="3:14" ht="14.45" customHeight="1" x14ac:dyDescent="0.3">
      <c r="C479" s="927"/>
      <c r="D479" s="559"/>
      <c r="E479" s="569"/>
      <c r="F479" s="570" t="s">
        <v>1316</v>
      </c>
      <c r="G479" s="571"/>
      <c r="H479" s="572"/>
      <c r="I479" s="573"/>
      <c r="J479" s="1186"/>
      <c r="K479" s="1189"/>
      <c r="L479" s="1189"/>
      <c r="M479" s="1192"/>
    </row>
    <row r="480" spans="3:14" ht="66.75" customHeight="1" x14ac:dyDescent="0.3">
      <c r="C480" s="927"/>
      <c r="D480" s="559"/>
      <c r="E480" s="560"/>
      <c r="F480" s="460" t="s">
        <v>1317</v>
      </c>
      <c r="G480" s="549" t="s">
        <v>1318</v>
      </c>
      <c r="H480" s="467" t="s">
        <v>1319</v>
      </c>
      <c r="I480" s="563" t="s">
        <v>1305</v>
      </c>
      <c r="J480" s="1186"/>
      <c r="K480" s="1189"/>
      <c r="L480" s="1189"/>
      <c r="M480" s="1192"/>
    </row>
    <row r="481" spans="3:13" ht="14.45" customHeight="1" x14ac:dyDescent="0.3">
      <c r="C481" s="927"/>
      <c r="D481" s="559"/>
      <c r="E481" s="560" t="s">
        <v>1298</v>
      </c>
      <c r="F481" s="570" t="s">
        <v>1320</v>
      </c>
      <c r="G481" s="549"/>
      <c r="H481" s="467"/>
      <c r="I481" s="563"/>
      <c r="J481" s="1186"/>
      <c r="K481" s="1189"/>
      <c r="L481" s="1189"/>
      <c r="M481" s="1192"/>
    </row>
    <row r="482" spans="3:13" ht="69" customHeight="1" x14ac:dyDescent="0.3">
      <c r="C482" s="927"/>
      <c r="D482" s="559"/>
      <c r="E482" s="560"/>
      <c r="F482" s="460" t="s">
        <v>1321</v>
      </c>
      <c r="G482" s="549" t="s">
        <v>1322</v>
      </c>
      <c r="H482" s="467" t="s">
        <v>1323</v>
      </c>
      <c r="I482" s="467" t="s">
        <v>1324</v>
      </c>
      <c r="J482" s="1186"/>
      <c r="K482" s="1189"/>
      <c r="L482" s="1189"/>
      <c r="M482" s="1192"/>
    </row>
    <row r="483" spans="3:13" ht="14.45" customHeight="1" x14ac:dyDescent="0.3">
      <c r="C483" s="1169"/>
      <c r="D483" s="559"/>
      <c r="E483" s="567"/>
      <c r="F483" s="451" t="s">
        <v>1325</v>
      </c>
      <c r="G483" s="450"/>
      <c r="H483" s="468"/>
      <c r="I483" s="468"/>
      <c r="J483" s="1186"/>
      <c r="K483" s="1189"/>
      <c r="L483" s="1189"/>
      <c r="M483" s="1192"/>
    </row>
    <row r="484" spans="3:13" ht="57" customHeight="1" x14ac:dyDescent="0.3">
      <c r="C484" s="1169"/>
      <c r="D484" s="559"/>
      <c r="E484" s="574"/>
      <c r="F484" s="537" t="s">
        <v>1326</v>
      </c>
      <c r="G484" s="575" t="s">
        <v>1327</v>
      </c>
      <c r="H484" s="576" t="s">
        <v>1328</v>
      </c>
      <c r="I484" s="576" t="s">
        <v>1329</v>
      </c>
      <c r="J484" s="1186"/>
      <c r="K484" s="1189"/>
      <c r="L484" s="1189"/>
      <c r="M484" s="1192"/>
    </row>
    <row r="485" spans="3:13" ht="54.75" customHeight="1" x14ac:dyDescent="0.3">
      <c r="C485" s="1169"/>
      <c r="D485" s="559"/>
      <c r="E485" s="560"/>
      <c r="F485" s="460" t="s">
        <v>1330</v>
      </c>
      <c r="G485" s="549" t="s">
        <v>1331</v>
      </c>
      <c r="H485" s="467" t="s">
        <v>1332</v>
      </c>
      <c r="I485" s="563" t="s">
        <v>1305</v>
      </c>
      <c r="J485" s="1186"/>
      <c r="K485" s="1189"/>
      <c r="L485" s="1189"/>
      <c r="M485" s="1192"/>
    </row>
    <row r="486" spans="3:13" ht="14.45" customHeight="1" x14ac:dyDescent="0.3">
      <c r="C486" s="1169"/>
      <c r="D486" s="559"/>
      <c r="E486" s="567"/>
      <c r="F486" s="451"/>
      <c r="G486" s="450" t="s">
        <v>1307</v>
      </c>
      <c r="H486" s="468"/>
      <c r="I486" s="568"/>
      <c r="J486" s="1186"/>
      <c r="K486" s="1189"/>
      <c r="L486" s="1189"/>
      <c r="M486" s="1192"/>
    </row>
    <row r="487" spans="3:13" ht="14.45" customHeight="1" x14ac:dyDescent="0.3">
      <c r="C487" s="1169"/>
      <c r="D487" s="559"/>
      <c r="E487" s="560" t="s">
        <v>1298</v>
      </c>
      <c r="F487" s="570" t="s">
        <v>1333</v>
      </c>
      <c r="G487" s="549"/>
      <c r="H487" s="467"/>
      <c r="I487" s="563"/>
      <c r="J487" s="1186"/>
      <c r="K487" s="1189"/>
      <c r="L487" s="1189"/>
      <c r="M487" s="1192"/>
    </row>
    <row r="488" spans="3:13" ht="19.5" customHeight="1" x14ac:dyDescent="0.3">
      <c r="C488" s="1169"/>
      <c r="D488" s="559"/>
      <c r="E488" s="560"/>
      <c r="F488" s="460" t="s">
        <v>1334</v>
      </c>
      <c r="G488" s="549"/>
      <c r="H488" s="467"/>
      <c r="I488" s="563"/>
      <c r="J488" s="1186"/>
      <c r="K488" s="1189"/>
      <c r="L488" s="1189"/>
      <c r="M488" s="1192"/>
    </row>
    <row r="489" spans="3:13" ht="69.75" customHeight="1" x14ac:dyDescent="0.3">
      <c r="C489" s="1169"/>
      <c r="D489" s="559"/>
      <c r="E489" s="567"/>
      <c r="F489" s="451" t="s">
        <v>1335</v>
      </c>
      <c r="G489" s="450" t="s">
        <v>1336</v>
      </c>
      <c r="H489" s="468" t="s">
        <v>1337</v>
      </c>
      <c r="I489" s="468" t="s">
        <v>1338</v>
      </c>
      <c r="J489" s="1186"/>
      <c r="K489" s="1189"/>
      <c r="L489" s="1189"/>
      <c r="M489" s="1192"/>
    </row>
    <row r="490" spans="3:13" ht="55.5" customHeight="1" x14ac:dyDescent="0.3">
      <c r="C490" s="1169"/>
      <c r="D490" s="559"/>
      <c r="E490" s="567"/>
      <c r="F490" s="576" t="s">
        <v>1339</v>
      </c>
      <c r="G490" s="575" t="s">
        <v>1340</v>
      </c>
      <c r="H490" s="576" t="s">
        <v>1341</v>
      </c>
      <c r="I490" s="576" t="s">
        <v>1342</v>
      </c>
      <c r="J490" s="1186"/>
      <c r="K490" s="1189"/>
      <c r="L490" s="1189"/>
      <c r="M490" s="1192"/>
    </row>
    <row r="491" spans="3:13" ht="52.5" customHeight="1" x14ac:dyDescent="0.3">
      <c r="C491" s="1169"/>
      <c r="D491" s="552"/>
      <c r="E491" s="577"/>
      <c r="F491" s="576" t="s">
        <v>1343</v>
      </c>
      <c r="G491" s="575" t="s">
        <v>1344</v>
      </c>
      <c r="H491" s="576" t="s">
        <v>1345</v>
      </c>
      <c r="I491" s="576" t="s">
        <v>1346</v>
      </c>
      <c r="J491" s="1186"/>
      <c r="K491" s="1189"/>
      <c r="L491" s="1189"/>
      <c r="M491" s="1192"/>
    </row>
    <row r="492" spans="3:13" ht="50.25" customHeight="1" x14ac:dyDescent="0.3">
      <c r="C492" s="1169"/>
      <c r="D492" s="552"/>
      <c r="E492" s="577"/>
      <c r="F492" s="576" t="s">
        <v>1347</v>
      </c>
      <c r="G492" s="575" t="s">
        <v>1348</v>
      </c>
      <c r="H492" s="576" t="s">
        <v>1349</v>
      </c>
      <c r="I492" s="576" t="s">
        <v>1305</v>
      </c>
      <c r="J492" s="1186"/>
      <c r="K492" s="1189"/>
      <c r="L492" s="1189"/>
      <c r="M492" s="1192"/>
    </row>
    <row r="493" spans="3:13" ht="14.45" customHeight="1" x14ac:dyDescent="0.3">
      <c r="C493" s="1169"/>
      <c r="D493" s="559"/>
      <c r="E493" s="560" t="s">
        <v>1298</v>
      </c>
      <c r="F493" s="578" t="s">
        <v>1350</v>
      </c>
      <c r="G493" s="549"/>
      <c r="H493" s="467"/>
      <c r="I493" s="467"/>
      <c r="J493" s="1186"/>
      <c r="K493" s="1189"/>
      <c r="L493" s="1189"/>
      <c r="M493" s="1192"/>
    </row>
    <row r="494" spans="3:13" ht="52.5" customHeight="1" x14ac:dyDescent="0.3">
      <c r="C494" s="1169"/>
      <c r="D494" s="552"/>
      <c r="E494" s="579"/>
      <c r="F494" s="468" t="s">
        <v>1351</v>
      </c>
      <c r="G494" s="450" t="s">
        <v>1352</v>
      </c>
      <c r="H494" s="468" t="s">
        <v>1353</v>
      </c>
      <c r="I494" s="468" t="s">
        <v>1354</v>
      </c>
      <c r="J494" s="1186"/>
      <c r="K494" s="1189"/>
      <c r="L494" s="1189"/>
      <c r="M494" s="1192"/>
    </row>
    <row r="495" spans="3:13" ht="69.75" customHeight="1" x14ac:dyDescent="0.3">
      <c r="C495" s="1169"/>
      <c r="D495" s="543"/>
      <c r="E495" s="580" t="s">
        <v>1298</v>
      </c>
      <c r="F495" s="578" t="s">
        <v>1355</v>
      </c>
      <c r="G495" s="549"/>
      <c r="H495" s="467" t="s">
        <v>1356</v>
      </c>
      <c r="I495" s="467"/>
      <c r="J495" s="1186"/>
      <c r="K495" s="1189"/>
      <c r="L495" s="1189"/>
      <c r="M495" s="1192"/>
    </row>
    <row r="496" spans="3:13" ht="37.5" customHeight="1" x14ac:dyDescent="0.3">
      <c r="C496" s="1169"/>
      <c r="D496" s="552"/>
      <c r="E496" s="564"/>
      <c r="F496" s="467" t="s">
        <v>1357</v>
      </c>
      <c r="G496" s="459"/>
      <c r="H496" s="467"/>
      <c r="I496" s="467"/>
      <c r="J496" s="1187"/>
      <c r="K496" s="1190"/>
      <c r="L496" s="1190"/>
      <c r="M496" s="1193"/>
    </row>
    <row r="497" spans="3:14" ht="20.100000000000001" customHeight="1" thickBot="1" x14ac:dyDescent="0.35">
      <c r="C497" s="1169"/>
      <c r="D497" s="552"/>
      <c r="E497" s="581"/>
      <c r="F497" s="582"/>
      <c r="G497" s="583"/>
      <c r="H497" s="575"/>
      <c r="I497" s="584"/>
      <c r="J497" s="585">
        <f>SUM(J470:J496)</f>
        <v>4217052</v>
      </c>
      <c r="K497" s="586">
        <f>SUM(K470:K496)</f>
        <v>1264932.2</v>
      </c>
      <c r="L497" s="586">
        <f>SUM(L470:L496)</f>
        <v>120000</v>
      </c>
      <c r="M497" s="587">
        <f>SUM(M470:M496)</f>
        <v>5601984.2000000002</v>
      </c>
      <c r="N497" s="588"/>
    </row>
    <row r="498" spans="3:14" ht="14.45" customHeight="1" thickTop="1" x14ac:dyDescent="0.3">
      <c r="C498" s="1169"/>
      <c r="D498" s="552"/>
      <c r="E498" s="552"/>
      <c r="F498" s="552"/>
      <c r="G498" s="458"/>
      <c r="H498" s="549"/>
      <c r="I498" s="458"/>
      <c r="J498" s="458"/>
      <c r="K498" s="588"/>
      <c r="L498" s="588"/>
      <c r="M498" s="588"/>
      <c r="N498" s="588"/>
    </row>
    <row r="499" spans="3:14" ht="14.45" customHeight="1" x14ac:dyDescent="0.3">
      <c r="C499" s="1169"/>
      <c r="D499" s="552"/>
      <c r="E499" s="552"/>
      <c r="F499" s="552"/>
      <c r="G499" s="458"/>
      <c r="H499" s="549"/>
      <c r="I499" s="458"/>
      <c r="J499" s="458"/>
      <c r="K499" s="588"/>
      <c r="L499" s="588"/>
      <c r="M499" s="588"/>
      <c r="N499" s="588"/>
    </row>
    <row r="500" spans="3:14" ht="14.45" customHeight="1" x14ac:dyDescent="0.3">
      <c r="C500" s="1169"/>
      <c r="D500" s="552"/>
      <c r="E500" s="552"/>
      <c r="F500" s="552"/>
      <c r="G500" s="458"/>
      <c r="H500" s="549"/>
      <c r="I500" s="458"/>
      <c r="J500" s="458"/>
      <c r="K500" s="588"/>
      <c r="L500" s="588"/>
      <c r="M500" s="588"/>
      <c r="N500" s="588"/>
    </row>
    <row r="501" spans="3:14" ht="14.45" customHeight="1" x14ac:dyDescent="0.3">
      <c r="C501" s="1169"/>
      <c r="D501" s="552"/>
      <c r="E501" s="552"/>
      <c r="F501" s="552"/>
      <c r="G501" s="458"/>
      <c r="H501" s="549"/>
      <c r="I501" s="458"/>
      <c r="J501" s="458"/>
      <c r="K501" s="588"/>
      <c r="L501" s="588"/>
      <c r="M501" s="588"/>
      <c r="N501" s="588"/>
    </row>
    <row r="502" spans="3:14" ht="14.45" customHeight="1" x14ac:dyDescent="0.3">
      <c r="C502" s="1169"/>
      <c r="D502" s="552"/>
      <c r="E502" s="552"/>
      <c r="F502" s="552"/>
      <c r="G502" s="458"/>
      <c r="H502" s="549"/>
      <c r="I502" s="458"/>
      <c r="J502" s="458"/>
      <c r="K502" s="588"/>
      <c r="L502" s="588"/>
      <c r="M502" s="588"/>
      <c r="N502" s="588"/>
    </row>
    <row r="503" spans="3:14" ht="14.45" customHeight="1" x14ac:dyDescent="0.3">
      <c r="C503" s="1169"/>
      <c r="D503" s="552"/>
      <c r="E503" s="552"/>
      <c r="F503" s="552"/>
      <c r="G503" s="458"/>
      <c r="H503" s="549"/>
      <c r="I503" s="458"/>
      <c r="J503" s="458"/>
      <c r="K503" s="588"/>
      <c r="L503" s="588"/>
      <c r="M503" s="588"/>
      <c r="N503" s="588"/>
    </row>
    <row r="504" spans="3:14" ht="14.45" customHeight="1" x14ac:dyDescent="0.3">
      <c r="C504" s="1152" t="s">
        <v>1358</v>
      </c>
      <c r="E504" s="433" t="s">
        <v>1066</v>
      </c>
      <c r="F504" s="433"/>
      <c r="G504" s="471" t="s">
        <v>1067</v>
      </c>
      <c r="I504" s="471"/>
      <c r="J504" s="471"/>
      <c r="K504" s="470"/>
      <c r="L504" s="470"/>
      <c r="M504" s="470"/>
      <c r="N504" s="470"/>
    </row>
    <row r="505" spans="3:14" ht="14.45" customHeight="1" x14ac:dyDescent="0.3">
      <c r="C505" s="1169"/>
      <c r="E505" s="433"/>
      <c r="F505" s="433"/>
      <c r="G505" s="433"/>
      <c r="H505" s="433"/>
      <c r="I505" s="433"/>
      <c r="J505" s="433"/>
      <c r="K505" s="433"/>
      <c r="L505" s="433"/>
      <c r="M505" s="433"/>
      <c r="N505" s="433"/>
    </row>
    <row r="506" spans="3:14" ht="14.45" customHeight="1" x14ac:dyDescent="0.3">
      <c r="C506" s="1169"/>
      <c r="E506" s="1194" t="s">
        <v>439</v>
      </c>
      <c r="F506" s="1194"/>
      <c r="G506" s="1195" t="s">
        <v>260</v>
      </c>
      <c r="H506" s="1195"/>
      <c r="I506" s="1196" t="s">
        <v>17</v>
      </c>
      <c r="J506" s="1196"/>
      <c r="L506" s="1148" t="s">
        <v>91</v>
      </c>
      <c r="M506" s="1148"/>
    </row>
    <row r="507" spans="3:14" ht="14.45" customHeight="1" x14ac:dyDescent="0.3">
      <c r="C507" s="1169"/>
      <c r="E507" s="1197" t="s">
        <v>876</v>
      </c>
      <c r="F507" s="1197"/>
      <c r="G507" s="1198" t="s">
        <v>13</v>
      </c>
      <c r="H507" s="1198"/>
      <c r="I507" s="1199" t="s">
        <v>18</v>
      </c>
      <c r="J507" s="1199"/>
      <c r="L507" s="1149" t="s">
        <v>1021</v>
      </c>
      <c r="M507" s="1149"/>
    </row>
    <row r="508" spans="3:14" ht="14.45" customHeight="1" x14ac:dyDescent="0.3">
      <c r="C508" s="1169"/>
      <c r="E508" s="474" t="s">
        <v>264</v>
      </c>
      <c r="F508" s="474"/>
      <c r="G508" s="433"/>
      <c r="H508" s="433"/>
      <c r="I508" s="433"/>
      <c r="J508" s="475"/>
      <c r="K508" s="433"/>
      <c r="L508" s="433"/>
      <c r="M508" s="475"/>
      <c r="N508" s="433"/>
    </row>
    <row r="509" spans="3:14" ht="14.45" customHeight="1" x14ac:dyDescent="0.3">
      <c r="C509" s="1169"/>
      <c r="E509" s="476"/>
      <c r="F509" s="476"/>
      <c r="G509" s="433"/>
      <c r="H509" s="433"/>
      <c r="I509" s="433"/>
      <c r="J509" s="477"/>
      <c r="K509" s="433"/>
      <c r="L509" s="433"/>
      <c r="M509" s="477"/>
      <c r="N509" s="433"/>
    </row>
    <row r="510" spans="3:14" ht="14.45" customHeight="1" x14ac:dyDescent="0.3">
      <c r="C510" s="1169"/>
      <c r="E510" s="1148" t="s">
        <v>1495</v>
      </c>
      <c r="F510" s="1148"/>
      <c r="G510" s="479"/>
      <c r="H510" s="479"/>
      <c r="I510" s="480"/>
      <c r="J510" s="480"/>
      <c r="K510" s="556"/>
      <c r="L510" s="476"/>
      <c r="M510" s="474"/>
      <c r="N510" s="474"/>
    </row>
    <row r="511" spans="3:14" ht="14.45" customHeight="1" x14ac:dyDescent="0.3">
      <c r="C511" s="1169"/>
      <c r="E511" s="1149" t="s">
        <v>14</v>
      </c>
      <c r="F511" s="1149"/>
      <c r="G511" s="481"/>
      <c r="H511" s="481"/>
      <c r="I511" s="482"/>
      <c r="J511" s="480"/>
      <c r="K511" s="556"/>
      <c r="L511" s="476"/>
      <c r="M511" s="478"/>
      <c r="N511" s="474"/>
    </row>
    <row r="512" spans="3:14" ht="14.45" customHeight="1" x14ac:dyDescent="0.3">
      <c r="E512" s="473"/>
      <c r="F512" s="473"/>
      <c r="G512" s="481"/>
      <c r="H512" s="481"/>
      <c r="I512" s="482"/>
      <c r="J512" s="480"/>
      <c r="K512" s="556"/>
      <c r="L512" s="476"/>
      <c r="M512" s="478"/>
      <c r="N512" s="474"/>
    </row>
    <row r="513" spans="5:14" ht="14.45" customHeight="1" x14ac:dyDescent="0.3">
      <c r="E513" s="473"/>
      <c r="F513" s="473"/>
      <c r="G513" s="481"/>
      <c r="H513" s="481"/>
      <c r="I513" s="482"/>
      <c r="J513" s="480"/>
      <c r="K513" s="556"/>
      <c r="L513" s="476"/>
      <c r="M513" s="478"/>
      <c r="N513" s="474"/>
    </row>
    <row r="514" spans="5:14" ht="14.45" customHeight="1" x14ac:dyDescent="0.3">
      <c r="E514" s="473"/>
      <c r="F514" s="473"/>
      <c r="G514" s="481"/>
      <c r="H514" s="481"/>
      <c r="I514" s="482"/>
      <c r="J514" s="480"/>
      <c r="K514" s="556"/>
      <c r="L514" s="476"/>
      <c r="M514" s="478"/>
      <c r="N514" s="474"/>
    </row>
    <row r="515" spans="5:14" ht="14.45" customHeight="1" x14ac:dyDescent="0.3">
      <c r="E515" s="473"/>
      <c r="F515" s="473"/>
      <c r="G515" s="481"/>
      <c r="H515" s="481"/>
      <c r="I515" s="482"/>
      <c r="J515" s="480"/>
      <c r="K515" s="556"/>
      <c r="L515" s="476"/>
      <c r="M515" s="478"/>
      <c r="N515" s="474"/>
    </row>
    <row r="516" spans="5:14" ht="14.45" customHeight="1" x14ac:dyDescent="0.3">
      <c r="E516" s="473"/>
      <c r="F516" s="473"/>
      <c r="G516" s="481"/>
      <c r="H516" s="481"/>
      <c r="I516" s="482"/>
      <c r="J516" s="480"/>
      <c r="K516" s="556"/>
      <c r="L516" s="476"/>
      <c r="M516" s="478"/>
      <c r="N516" s="474"/>
    </row>
    <row r="517" spans="5:14" ht="14.45" customHeight="1" x14ac:dyDescent="0.3">
      <c r="E517" s="473"/>
      <c r="F517" s="473"/>
      <c r="G517" s="481"/>
      <c r="H517" s="481"/>
      <c r="I517" s="482"/>
      <c r="J517" s="480"/>
      <c r="K517" s="556"/>
      <c r="L517" s="476"/>
      <c r="M517" s="478"/>
      <c r="N517" s="474"/>
    </row>
    <row r="518" spans="5:14" ht="14.45" customHeight="1" x14ac:dyDescent="0.3">
      <c r="E518" s="473"/>
      <c r="F518" s="473"/>
      <c r="G518" s="481"/>
      <c r="H518" s="481"/>
      <c r="I518" s="482"/>
      <c r="J518" s="480"/>
      <c r="K518" s="556"/>
      <c r="L518" s="476"/>
      <c r="M518" s="478"/>
      <c r="N518" s="474"/>
    </row>
    <row r="519" spans="5:14" ht="14.45" customHeight="1" x14ac:dyDescent="0.3">
      <c r="E519" s="473"/>
      <c r="F519" s="473"/>
      <c r="G519" s="481"/>
      <c r="H519" s="481"/>
      <c r="I519" s="482"/>
      <c r="J519" s="480"/>
      <c r="K519" s="556"/>
      <c r="L519" s="476"/>
      <c r="M519" s="478"/>
      <c r="N519" s="474"/>
    </row>
    <row r="520" spans="5:14" ht="14.45" customHeight="1" x14ac:dyDescent="0.3">
      <c r="E520" s="473"/>
      <c r="F520" s="473"/>
      <c r="G520" s="481"/>
      <c r="H520" s="481"/>
      <c r="I520" s="482"/>
      <c r="J520" s="480"/>
      <c r="K520" s="556"/>
      <c r="L520" s="476"/>
      <c r="M520" s="478"/>
      <c r="N520" s="474"/>
    </row>
    <row r="521" spans="5:14" ht="14.45" customHeight="1" x14ac:dyDescent="0.3">
      <c r="E521" s="473"/>
      <c r="F521" s="473"/>
      <c r="G521" s="481"/>
      <c r="H521" s="481"/>
      <c r="I521" s="482"/>
      <c r="J521" s="480"/>
      <c r="K521" s="556"/>
      <c r="L521" s="476"/>
      <c r="M521" s="478"/>
      <c r="N521" s="474"/>
    </row>
    <row r="522" spans="5:14" ht="14.45" customHeight="1" x14ac:dyDescent="0.3">
      <c r="E522" s="473"/>
      <c r="F522" s="473"/>
      <c r="G522" s="481"/>
      <c r="H522" s="481"/>
      <c r="I522" s="482"/>
      <c r="J522" s="480"/>
      <c r="K522" s="556"/>
      <c r="L522" s="476"/>
      <c r="M522" s="478"/>
      <c r="N522" s="474"/>
    </row>
    <row r="523" spans="5:14" ht="14.45" customHeight="1" x14ac:dyDescent="0.3">
      <c r="E523" s="473"/>
      <c r="F523" s="473"/>
      <c r="G523" s="481"/>
      <c r="H523" s="481"/>
      <c r="I523" s="482"/>
      <c r="J523" s="480"/>
      <c r="K523" s="556"/>
      <c r="L523" s="476"/>
      <c r="M523" s="478"/>
      <c r="N523" s="474"/>
    </row>
    <row r="524" spans="5:14" ht="14.45" customHeight="1" x14ac:dyDescent="0.3">
      <c r="E524" s="473"/>
      <c r="F524" s="473"/>
      <c r="G524" s="481"/>
      <c r="H524" s="481"/>
      <c r="I524" s="482"/>
      <c r="J524" s="480"/>
      <c r="K524" s="556"/>
      <c r="L524" s="476"/>
      <c r="M524" s="478"/>
      <c r="N524" s="474"/>
    </row>
    <row r="525" spans="5:14" ht="14.45" customHeight="1" x14ac:dyDescent="0.3">
      <c r="E525" s="473"/>
      <c r="F525" s="473"/>
      <c r="G525" s="481"/>
      <c r="H525" s="481"/>
      <c r="I525" s="482"/>
      <c r="J525" s="480"/>
      <c r="K525" s="556"/>
      <c r="L525" s="476"/>
      <c r="M525" s="478"/>
      <c r="N525" s="474"/>
    </row>
    <row r="526" spans="5:14" ht="14.45" customHeight="1" x14ac:dyDescent="0.3">
      <c r="E526" s="473"/>
      <c r="F526" s="473"/>
      <c r="G526" s="481"/>
      <c r="H526" s="481"/>
      <c r="I526" s="482"/>
      <c r="J526" s="480"/>
      <c r="K526" s="556"/>
      <c r="L526" s="476"/>
      <c r="M526" s="478"/>
      <c r="N526" s="474"/>
    </row>
    <row r="527" spans="5:14" ht="14.45" customHeight="1" x14ac:dyDescent="0.3">
      <c r="E527" s="473"/>
      <c r="F527" s="473"/>
      <c r="G527" s="481"/>
      <c r="H527" s="481"/>
      <c r="I527" s="482"/>
      <c r="J527" s="480"/>
      <c r="K527" s="556"/>
      <c r="L527" s="476"/>
      <c r="M527" s="478"/>
      <c r="N527" s="474"/>
    </row>
    <row r="528" spans="5:14" ht="14.45" customHeight="1" x14ac:dyDescent="0.3">
      <c r="E528" s="473"/>
      <c r="F528" s="473"/>
      <c r="G528" s="481"/>
      <c r="H528" s="481"/>
      <c r="I528" s="482"/>
      <c r="J528" s="480"/>
      <c r="K528" s="556"/>
      <c r="L528" s="476"/>
      <c r="M528" s="478"/>
      <c r="N528" s="474"/>
    </row>
    <row r="529" spans="5:14" ht="14.45" customHeight="1" x14ac:dyDescent="0.3">
      <c r="E529" s="473"/>
      <c r="F529" s="473"/>
      <c r="G529" s="481"/>
      <c r="H529" s="481"/>
      <c r="I529" s="482"/>
      <c r="J529" s="480"/>
      <c r="K529" s="556"/>
      <c r="L529" s="476"/>
      <c r="M529" s="478"/>
      <c r="N529" s="474"/>
    </row>
    <row r="530" spans="5:14" ht="14.45" customHeight="1" x14ac:dyDescent="0.3">
      <c r="E530" s="473"/>
      <c r="F530" s="473"/>
      <c r="G530" s="481"/>
      <c r="H530" s="481"/>
      <c r="I530" s="482"/>
      <c r="J530" s="480"/>
      <c r="K530" s="556"/>
      <c r="L530" s="476"/>
      <c r="M530" s="478"/>
      <c r="N530" s="474"/>
    </row>
    <row r="531" spans="5:14" ht="14.45" customHeight="1" x14ac:dyDescent="0.3">
      <c r="E531" s="473"/>
      <c r="F531" s="473"/>
      <c r="G531" s="481"/>
      <c r="H531" s="481"/>
      <c r="I531" s="482"/>
      <c r="J531" s="480"/>
      <c r="K531" s="556"/>
      <c r="L531" s="476"/>
      <c r="M531" s="478"/>
      <c r="N531" s="474"/>
    </row>
    <row r="532" spans="5:14" ht="14.45" customHeight="1" x14ac:dyDescent="0.3">
      <c r="E532" s="473"/>
      <c r="F532" s="473"/>
      <c r="G532" s="481"/>
      <c r="H532" s="481"/>
      <c r="I532" s="482"/>
      <c r="J532" s="480"/>
      <c r="K532" s="556"/>
      <c r="L532" s="476"/>
      <c r="M532" s="478"/>
      <c r="N532" s="474"/>
    </row>
    <row r="533" spans="5:14" ht="14.45" customHeight="1" x14ac:dyDescent="0.3">
      <c r="E533" s="473"/>
      <c r="F533" s="473"/>
      <c r="G533" s="481"/>
      <c r="H533" s="481"/>
      <c r="I533" s="482"/>
      <c r="J533" s="480"/>
      <c r="K533" s="556"/>
      <c r="L533" s="476"/>
      <c r="M533" s="478"/>
      <c r="N533" s="474"/>
    </row>
    <row r="534" spans="5:14" ht="14.45" customHeight="1" x14ac:dyDescent="0.3">
      <c r="E534" s="473"/>
      <c r="F534" s="473"/>
      <c r="G534" s="481"/>
      <c r="H534" s="481"/>
      <c r="I534" s="482"/>
      <c r="J534" s="480"/>
      <c r="K534" s="556"/>
      <c r="L534" s="476"/>
      <c r="M534" s="478"/>
      <c r="N534" s="474"/>
    </row>
    <row r="535" spans="5:14" ht="14.45" customHeight="1" x14ac:dyDescent="0.3">
      <c r="E535" s="473"/>
      <c r="F535" s="473"/>
      <c r="G535" s="481"/>
      <c r="H535" s="481"/>
      <c r="I535" s="482"/>
      <c r="J535" s="480"/>
      <c r="K535" s="556"/>
      <c r="L535" s="476"/>
      <c r="M535" s="478"/>
      <c r="N535" s="474"/>
    </row>
    <row r="536" spans="5:14" ht="14.45" customHeight="1" x14ac:dyDescent="0.3">
      <c r="E536" s="473"/>
      <c r="F536" s="473"/>
      <c r="G536" s="481"/>
      <c r="H536" s="481"/>
      <c r="I536" s="482"/>
      <c r="J536" s="480"/>
      <c r="K536" s="556"/>
      <c r="L536" s="476"/>
      <c r="M536" s="478"/>
      <c r="N536" s="474"/>
    </row>
    <row r="537" spans="5:14" ht="14.45" customHeight="1" x14ac:dyDescent="0.3">
      <c r="E537" s="473"/>
      <c r="F537" s="473"/>
      <c r="G537" s="481"/>
      <c r="H537" s="481"/>
      <c r="I537" s="482"/>
      <c r="J537" s="480"/>
      <c r="K537" s="556"/>
      <c r="L537" s="476"/>
      <c r="M537" s="478"/>
      <c r="N537" s="474"/>
    </row>
    <row r="538" spans="5:14" ht="14.45" customHeight="1" x14ac:dyDescent="0.3">
      <c r="E538" s="473"/>
      <c r="F538" s="473"/>
      <c r="G538" s="481"/>
      <c r="H538" s="481"/>
      <c r="I538" s="482"/>
      <c r="J538" s="480"/>
      <c r="K538" s="556"/>
      <c r="L538" s="476"/>
      <c r="M538" s="478"/>
      <c r="N538" s="474"/>
    </row>
    <row r="539" spans="5:14" ht="14.45" customHeight="1" x14ac:dyDescent="0.3">
      <c r="E539" s="473"/>
      <c r="F539" s="473"/>
      <c r="G539" s="481"/>
      <c r="H539" s="481"/>
      <c r="I539" s="482"/>
      <c r="J539" s="480"/>
      <c r="K539" s="556"/>
      <c r="L539" s="476"/>
      <c r="M539" s="478"/>
      <c r="N539" s="474"/>
    </row>
    <row r="540" spans="5:14" ht="14.45" customHeight="1" x14ac:dyDescent="0.3">
      <c r="E540" s="473"/>
      <c r="F540" s="473"/>
      <c r="G540" s="481"/>
      <c r="H540" s="481"/>
      <c r="I540" s="482"/>
      <c r="J540" s="480"/>
      <c r="K540" s="556"/>
      <c r="L540" s="476"/>
      <c r="M540" s="478"/>
      <c r="N540" s="474"/>
    </row>
    <row r="541" spans="5:14" ht="14.45" customHeight="1" x14ac:dyDescent="0.3">
      <c r="E541" s="473"/>
      <c r="F541" s="473"/>
      <c r="G541" s="481"/>
      <c r="H541" s="481"/>
      <c r="I541" s="482"/>
      <c r="J541" s="480"/>
      <c r="K541" s="556"/>
      <c r="L541" s="476"/>
      <c r="M541" s="478"/>
      <c r="N541" s="474"/>
    </row>
    <row r="542" spans="5:14" ht="14.45" customHeight="1" x14ac:dyDescent="0.3">
      <c r="E542" s="473"/>
      <c r="F542" s="473"/>
      <c r="G542" s="481"/>
      <c r="H542" s="481"/>
      <c r="I542" s="482"/>
      <c r="J542" s="480"/>
      <c r="K542" s="556"/>
      <c r="L542" s="476"/>
      <c r="M542" s="478"/>
      <c r="N542" s="474"/>
    </row>
    <row r="543" spans="5:14" ht="14.45" customHeight="1" x14ac:dyDescent="0.3">
      <c r="E543" s="473"/>
      <c r="F543" s="473"/>
      <c r="G543" s="481"/>
      <c r="H543" s="481"/>
      <c r="I543" s="482"/>
      <c r="J543" s="480"/>
      <c r="K543" s="556"/>
      <c r="L543" s="476"/>
      <c r="M543" s="478"/>
      <c r="N543" s="474"/>
    </row>
    <row r="544" spans="5:14" ht="14.45" customHeight="1" x14ac:dyDescent="0.3">
      <c r="E544" s="473"/>
      <c r="F544" s="473"/>
      <c r="G544" s="481"/>
      <c r="H544" s="481"/>
      <c r="I544" s="482"/>
      <c r="J544" s="480"/>
      <c r="K544" s="556"/>
      <c r="L544" s="476"/>
      <c r="M544" s="478"/>
      <c r="N544" s="474"/>
    </row>
    <row r="545" spans="3:14" ht="14.45" customHeight="1" x14ac:dyDescent="0.3">
      <c r="E545" s="473"/>
      <c r="F545" s="473"/>
      <c r="G545" s="481"/>
      <c r="H545" s="481"/>
      <c r="I545" s="482"/>
      <c r="J545" s="480"/>
      <c r="K545" s="556"/>
      <c r="L545" s="476"/>
      <c r="M545" s="478"/>
      <c r="N545" s="474"/>
    </row>
    <row r="546" spans="3:14" ht="14.45" customHeight="1" x14ac:dyDescent="0.3">
      <c r="E546" s="473"/>
      <c r="F546" s="473"/>
      <c r="G546" s="481"/>
      <c r="H546" s="481"/>
      <c r="I546" s="482"/>
      <c r="J546" s="480"/>
      <c r="K546" s="556"/>
      <c r="L546" s="476"/>
      <c r="M546" s="478"/>
      <c r="N546" s="474"/>
    </row>
    <row r="547" spans="3:14" ht="14.45" customHeight="1" x14ac:dyDescent="0.3">
      <c r="E547" s="473"/>
      <c r="F547" s="473"/>
      <c r="G547" s="481"/>
      <c r="H547" s="481"/>
      <c r="I547" s="482"/>
      <c r="J547" s="480"/>
      <c r="K547" s="556"/>
      <c r="L547" s="476"/>
      <c r="M547" s="478"/>
      <c r="N547" s="474"/>
    </row>
    <row r="548" spans="3:14" ht="15.95" customHeight="1" x14ac:dyDescent="0.3">
      <c r="E548" s="473"/>
      <c r="F548" s="473"/>
      <c r="G548" s="481"/>
      <c r="H548" s="481"/>
      <c r="I548" s="482"/>
      <c r="J548" s="480"/>
      <c r="K548" s="556"/>
      <c r="L548" s="476"/>
      <c r="M548" s="478"/>
      <c r="N548" s="474"/>
    </row>
    <row r="549" spans="3:14" ht="14.45" customHeight="1" x14ac:dyDescent="0.3">
      <c r="C549" s="926" t="s">
        <v>1359</v>
      </c>
      <c r="D549" s="385"/>
      <c r="F549" s="1155" t="s">
        <v>1601</v>
      </c>
      <c r="G549" s="1155"/>
      <c r="H549" s="1155"/>
      <c r="I549" s="1155"/>
      <c r="J549" s="1155"/>
      <c r="K549" s="1155"/>
      <c r="L549" s="1155"/>
      <c r="M549" s="360"/>
    </row>
    <row r="550" spans="3:14" ht="14.45" customHeight="1" x14ac:dyDescent="0.3">
      <c r="C550" s="926"/>
      <c r="E550" s="1156" t="s">
        <v>182</v>
      </c>
      <c r="F550" s="1156"/>
      <c r="G550" s="1156"/>
      <c r="H550" s="1156"/>
      <c r="I550" s="1156"/>
      <c r="J550" s="1156"/>
      <c r="K550" s="1156"/>
      <c r="L550" s="1156"/>
      <c r="M550" s="1156"/>
    </row>
    <row r="551" spans="3:14" ht="14.45" customHeight="1" x14ac:dyDescent="0.3">
      <c r="C551" s="926"/>
      <c r="E551" s="358" t="s">
        <v>1027</v>
      </c>
      <c r="F551" s="362" t="s">
        <v>1360</v>
      </c>
    </row>
    <row r="552" spans="3:14" ht="14.45" customHeight="1" x14ac:dyDescent="0.3">
      <c r="C552" s="926"/>
      <c r="E552" s="358" t="s">
        <v>1029</v>
      </c>
      <c r="F552" s="363" t="s">
        <v>1361</v>
      </c>
    </row>
    <row r="553" spans="3:14" ht="14.45" customHeight="1" x14ac:dyDescent="0.3">
      <c r="C553" s="926"/>
      <c r="E553" s="358" t="s">
        <v>1031</v>
      </c>
      <c r="F553" s="1177" t="s">
        <v>1362</v>
      </c>
      <c r="G553" s="1177"/>
      <c r="H553" s="1177"/>
      <c r="I553" s="1177"/>
      <c r="J553" s="1177"/>
      <c r="K553" s="1177"/>
      <c r="L553" s="1177"/>
      <c r="M553" s="1177"/>
    </row>
    <row r="554" spans="3:14" ht="14.45" customHeight="1" x14ac:dyDescent="0.3">
      <c r="C554" s="926"/>
      <c r="E554" s="358" t="s">
        <v>1033</v>
      </c>
      <c r="F554" s="1177" t="s">
        <v>1363</v>
      </c>
      <c r="G554" s="1177"/>
      <c r="H554" s="1177"/>
      <c r="I554" s="1177"/>
      <c r="J554" s="1177"/>
      <c r="K554" s="1177"/>
      <c r="L554" s="1177"/>
      <c r="M554" s="1177"/>
    </row>
    <row r="555" spans="3:14" ht="14.45" customHeight="1" x14ac:dyDescent="0.3">
      <c r="C555" s="926"/>
      <c r="E555" s="366" t="s">
        <v>1364</v>
      </c>
      <c r="F555" s="366"/>
      <c r="G555" s="366"/>
      <c r="H555" s="366"/>
      <c r="I555" s="366"/>
      <c r="J555" s="366"/>
      <c r="K555" s="366"/>
      <c r="L555" s="366"/>
      <c r="M555" s="366"/>
    </row>
    <row r="556" spans="3:14" ht="14.45" customHeight="1" x14ac:dyDescent="0.3">
      <c r="C556" s="926"/>
      <c r="E556" s="1158" t="s">
        <v>1036</v>
      </c>
      <c r="F556" s="523" t="s">
        <v>648</v>
      </c>
      <c r="G556" s="1160" t="s">
        <v>650</v>
      </c>
      <c r="H556" s="367" t="s">
        <v>651</v>
      </c>
      <c r="I556" s="1158" t="s">
        <v>1037</v>
      </c>
      <c r="J556" s="1162" t="s">
        <v>1602</v>
      </c>
      <c r="K556" s="1162"/>
      <c r="L556" s="1162"/>
      <c r="M556" s="1163"/>
    </row>
    <row r="557" spans="3:14" ht="14.45" customHeight="1" x14ac:dyDescent="0.3">
      <c r="C557" s="926"/>
      <c r="E557" s="1178"/>
      <c r="F557" s="589" t="s">
        <v>649</v>
      </c>
      <c r="G557" s="1179"/>
      <c r="H557" s="368" t="s">
        <v>652</v>
      </c>
      <c r="I557" s="1178"/>
      <c r="J557" s="521" t="s">
        <v>283</v>
      </c>
      <c r="K557" s="522" t="s">
        <v>284</v>
      </c>
      <c r="L557" s="367" t="s">
        <v>285</v>
      </c>
      <c r="M557" s="523" t="s">
        <v>15</v>
      </c>
    </row>
    <row r="558" spans="3:14" ht="14.45" customHeight="1" x14ac:dyDescent="0.3">
      <c r="C558" s="926"/>
      <c r="E558" s="526" t="s">
        <v>1365</v>
      </c>
      <c r="F558" s="505" t="s">
        <v>1366</v>
      </c>
      <c r="G558" s="403" t="s">
        <v>1367</v>
      </c>
      <c r="H558" s="403"/>
      <c r="I558" s="1172" t="s">
        <v>1094</v>
      </c>
      <c r="J558" s="1164">
        <f>SUM('[1]LBP NO. 2'!M790+'[1]LBP NO. 2'!M854)</f>
        <v>10730236</v>
      </c>
      <c r="K558" s="1164">
        <f>SUM('[1]LBP NO. 2'!M800+'[1]LBP NO. 2'!M862)</f>
        <v>3575600</v>
      </c>
      <c r="L558" s="1164">
        <f>SUM('[1]LBP NO. 2'!M805+'[1]LBP NO. 2'!M865)</f>
        <v>95000</v>
      </c>
      <c r="M558" s="1164">
        <f>SUM(J558:L588)</f>
        <v>14400836</v>
      </c>
    </row>
    <row r="559" spans="3:14" ht="49.5" customHeight="1" x14ac:dyDescent="0.3">
      <c r="C559" s="926"/>
      <c r="E559" s="590"/>
      <c r="F559" s="510" t="s">
        <v>1368</v>
      </c>
      <c r="G559" s="405"/>
      <c r="H559" s="405" t="s">
        <v>1369</v>
      </c>
      <c r="I559" s="1168"/>
      <c r="J559" s="1165"/>
      <c r="K559" s="1165"/>
      <c r="L559" s="1165"/>
      <c r="M559" s="1165"/>
    </row>
    <row r="560" spans="3:14" ht="34.5" customHeight="1" x14ac:dyDescent="0.3">
      <c r="C560" s="926"/>
      <c r="E560" s="590"/>
      <c r="F560" s="510" t="s">
        <v>1370</v>
      </c>
      <c r="G560" s="405"/>
      <c r="H560" s="405" t="s">
        <v>1371</v>
      </c>
      <c r="I560" s="1168"/>
      <c r="J560" s="1165"/>
      <c r="K560" s="1165"/>
      <c r="L560" s="1165"/>
      <c r="M560" s="1165"/>
    </row>
    <row r="561" spans="3:13" ht="32.25" customHeight="1" x14ac:dyDescent="0.3">
      <c r="C561" s="926"/>
      <c r="E561" s="590"/>
      <c r="F561" s="510" t="s">
        <v>1372</v>
      </c>
      <c r="G561" s="405"/>
      <c r="H561" s="405" t="s">
        <v>1371</v>
      </c>
      <c r="I561" s="1168"/>
      <c r="J561" s="1165"/>
      <c r="K561" s="1165"/>
      <c r="L561" s="1165"/>
      <c r="M561" s="1165"/>
    </row>
    <row r="562" spans="3:13" ht="14.45" customHeight="1" x14ac:dyDescent="0.3">
      <c r="C562" s="926"/>
      <c r="E562" s="590"/>
      <c r="F562" s="510" t="s">
        <v>1373</v>
      </c>
      <c r="G562" s="405"/>
      <c r="H562" s="383" t="s">
        <v>1374</v>
      </c>
      <c r="I562" s="1168"/>
      <c r="J562" s="1165"/>
      <c r="K562" s="1165"/>
      <c r="L562" s="1165"/>
      <c r="M562" s="1165"/>
    </row>
    <row r="563" spans="3:13" ht="14.45" customHeight="1" x14ac:dyDescent="0.3">
      <c r="C563" s="926"/>
      <c r="E563" s="526" t="s">
        <v>1365</v>
      </c>
      <c r="F563" s="591" t="s">
        <v>1375</v>
      </c>
      <c r="G563" s="1172" t="s">
        <v>1376</v>
      </c>
      <c r="H563" s="485"/>
      <c r="I563" s="1172" t="s">
        <v>1094</v>
      </c>
      <c r="J563" s="1165"/>
      <c r="K563" s="1165"/>
      <c r="L563" s="1165"/>
      <c r="M563" s="1165"/>
    </row>
    <row r="564" spans="3:13" ht="14.45" customHeight="1" x14ac:dyDescent="0.3">
      <c r="C564" s="926"/>
      <c r="E564" s="528"/>
      <c r="F564" s="510" t="s">
        <v>1377</v>
      </c>
      <c r="G564" s="1168"/>
      <c r="H564" s="405"/>
      <c r="I564" s="1168"/>
      <c r="J564" s="1165"/>
      <c r="K564" s="1165"/>
      <c r="L564" s="1165"/>
      <c r="M564" s="1165"/>
    </row>
    <row r="565" spans="3:13" ht="36.75" customHeight="1" x14ac:dyDescent="0.3">
      <c r="C565" s="926"/>
      <c r="E565" s="528"/>
      <c r="F565" s="510" t="s">
        <v>1378</v>
      </c>
      <c r="G565" s="1168"/>
      <c r="H565" s="405" t="s">
        <v>1379</v>
      </c>
      <c r="I565" s="1168"/>
      <c r="J565" s="1165"/>
      <c r="K565" s="1165"/>
      <c r="L565" s="1165"/>
      <c r="M565" s="1165"/>
    </row>
    <row r="566" spans="3:13" ht="50.25" customHeight="1" x14ac:dyDescent="0.3">
      <c r="C566" s="926"/>
      <c r="E566" s="528"/>
      <c r="F566" s="510" t="s">
        <v>1380</v>
      </c>
      <c r="G566" s="382"/>
      <c r="H566" s="592" t="s">
        <v>1381</v>
      </c>
      <c r="I566" s="382"/>
      <c r="J566" s="1165"/>
      <c r="K566" s="1165"/>
      <c r="L566" s="1165"/>
      <c r="M566" s="1165"/>
    </row>
    <row r="567" spans="3:13" ht="18.75" customHeight="1" x14ac:dyDescent="0.3">
      <c r="C567" s="926"/>
      <c r="E567" s="528"/>
      <c r="F567" s="381" t="s">
        <v>1382</v>
      </c>
      <c r="G567" s="382" t="s">
        <v>1383</v>
      </c>
      <c r="H567" s="382" t="s">
        <v>1384</v>
      </c>
      <c r="I567" s="382"/>
      <c r="J567" s="1165"/>
      <c r="K567" s="1165"/>
      <c r="L567" s="1165"/>
      <c r="M567" s="1165"/>
    </row>
    <row r="568" spans="3:13" ht="34.5" customHeight="1" x14ac:dyDescent="0.3">
      <c r="C568" s="926"/>
      <c r="E568" s="590"/>
      <c r="F568" s="510" t="s">
        <v>1385</v>
      </c>
      <c r="G568" s="382"/>
      <c r="H568" s="381" t="s">
        <v>1386</v>
      </c>
      <c r="I568" s="405"/>
      <c r="J568" s="1165"/>
      <c r="K568" s="1165"/>
      <c r="L568" s="1165"/>
      <c r="M568" s="1165"/>
    </row>
    <row r="569" spans="3:13" ht="18.75" customHeight="1" x14ac:dyDescent="0.3">
      <c r="C569" s="926"/>
      <c r="E569" s="590"/>
      <c r="F569" s="510" t="s">
        <v>1387</v>
      </c>
      <c r="G569" s="382"/>
      <c r="H569" s="381" t="s">
        <v>1388</v>
      </c>
      <c r="I569" s="405"/>
      <c r="J569" s="1165"/>
      <c r="K569" s="1165"/>
      <c r="L569" s="1165"/>
      <c r="M569" s="1165"/>
    </row>
    <row r="570" spans="3:13" ht="68.25" customHeight="1" x14ac:dyDescent="0.3">
      <c r="C570" s="926"/>
      <c r="E570" s="590"/>
      <c r="F570" s="510" t="s">
        <v>1389</v>
      </c>
      <c r="G570" s="382"/>
      <c r="H570" s="381" t="s">
        <v>1390</v>
      </c>
      <c r="I570" s="405"/>
      <c r="J570" s="1165"/>
      <c r="K570" s="1165"/>
      <c r="L570" s="1165"/>
      <c r="M570" s="1165"/>
    </row>
    <row r="571" spans="3:13" ht="14.45" customHeight="1" x14ac:dyDescent="0.3">
      <c r="C571" s="926"/>
      <c r="E571" s="590"/>
      <c r="F571" s="510" t="s">
        <v>1391</v>
      </c>
      <c r="G571" s="382"/>
      <c r="H571" s="381"/>
      <c r="I571" s="405"/>
      <c r="J571" s="1165"/>
      <c r="K571" s="1165"/>
      <c r="L571" s="1165"/>
      <c r="M571" s="1165"/>
    </row>
    <row r="572" spans="3:13" ht="14.45" customHeight="1" x14ac:dyDescent="0.3">
      <c r="C572" s="926"/>
      <c r="E572" s="590"/>
      <c r="F572" s="510" t="s">
        <v>1392</v>
      </c>
      <c r="G572" s="382"/>
      <c r="H572" s="381"/>
      <c r="I572" s="405"/>
      <c r="J572" s="1165"/>
      <c r="K572" s="1165"/>
      <c r="L572" s="1165"/>
      <c r="M572" s="1165"/>
    </row>
    <row r="573" spans="3:13" ht="14.45" customHeight="1" x14ac:dyDescent="0.3">
      <c r="C573" s="926"/>
      <c r="E573" s="590"/>
      <c r="F573" s="510" t="s">
        <v>1393</v>
      </c>
      <c r="G573" s="382"/>
      <c r="H573" s="381"/>
      <c r="I573" s="405"/>
      <c r="J573" s="1165"/>
      <c r="K573" s="1165"/>
      <c r="L573" s="1165"/>
      <c r="M573" s="1165"/>
    </row>
    <row r="574" spans="3:13" ht="15.95" customHeight="1" x14ac:dyDescent="0.3">
      <c r="C574" s="926"/>
      <c r="E574" s="590"/>
      <c r="F574" s="510" t="s">
        <v>1394</v>
      </c>
      <c r="G574" s="382"/>
      <c r="H574" s="381"/>
      <c r="I574" s="405"/>
      <c r="J574" s="1165"/>
      <c r="K574" s="1165"/>
      <c r="L574" s="1165"/>
      <c r="M574" s="1165"/>
    </row>
    <row r="575" spans="3:13" ht="99.75" customHeight="1" x14ac:dyDescent="0.3">
      <c r="C575" s="926"/>
      <c r="E575" s="590"/>
      <c r="F575" s="510" t="s">
        <v>1395</v>
      </c>
      <c r="G575" s="382"/>
      <c r="H575" s="1171" t="s">
        <v>1396</v>
      </c>
      <c r="I575" s="405"/>
      <c r="J575" s="1165"/>
      <c r="K575" s="1165"/>
      <c r="L575" s="1165"/>
      <c r="M575" s="1165"/>
    </row>
    <row r="576" spans="3:13" ht="15.95" customHeight="1" x14ac:dyDescent="0.3">
      <c r="C576" s="926"/>
      <c r="E576" s="590"/>
      <c r="F576" s="510" t="s">
        <v>1397</v>
      </c>
      <c r="G576" s="382"/>
      <c r="H576" s="1171"/>
      <c r="I576" s="405"/>
      <c r="J576" s="1165"/>
      <c r="K576" s="1165"/>
      <c r="L576" s="1165"/>
      <c r="M576" s="1165"/>
    </row>
    <row r="577" spans="3:15" ht="15.95" customHeight="1" x14ac:dyDescent="0.3">
      <c r="C577" s="926"/>
      <c r="E577" s="593"/>
      <c r="F577" s="507"/>
      <c r="G577" s="411"/>
      <c r="H577" s="491"/>
      <c r="I577" s="383"/>
      <c r="J577" s="1165"/>
      <c r="K577" s="1165"/>
      <c r="L577" s="1165"/>
      <c r="M577" s="1165"/>
      <c r="O577" s="620"/>
    </row>
    <row r="578" spans="3:15" ht="18" customHeight="1" x14ac:dyDescent="0.3">
      <c r="C578" s="1152" t="s">
        <v>1398</v>
      </c>
      <c r="E578" s="594"/>
      <c r="F578" s="595" t="s">
        <v>1399</v>
      </c>
      <c r="G578" s="379"/>
      <c r="H578" s="378" t="s">
        <v>1400</v>
      </c>
      <c r="I578" s="380"/>
      <c r="J578" s="1165"/>
      <c r="K578" s="1165"/>
      <c r="L578" s="1165"/>
      <c r="M578" s="1165"/>
    </row>
    <row r="579" spans="3:15" ht="68.25" customHeight="1" x14ac:dyDescent="0.3">
      <c r="C579" s="1169"/>
      <c r="E579" s="596" t="s">
        <v>1365</v>
      </c>
      <c r="F579" s="405" t="s">
        <v>1401</v>
      </c>
      <c r="G579" s="382"/>
      <c r="H579" s="381" t="s">
        <v>1402</v>
      </c>
      <c r="I579" s="1168" t="s">
        <v>1094</v>
      </c>
      <c r="J579" s="1165"/>
      <c r="K579" s="1165"/>
      <c r="L579" s="1165"/>
      <c r="M579" s="1165"/>
    </row>
    <row r="580" spans="3:15" ht="39.75" customHeight="1" x14ac:dyDescent="0.3">
      <c r="C580" s="1169"/>
      <c r="E580" s="590"/>
      <c r="F580" s="510" t="s">
        <v>1403</v>
      </c>
      <c r="G580" s="382"/>
      <c r="H580" s="381"/>
      <c r="I580" s="1168"/>
      <c r="J580" s="1165"/>
      <c r="K580" s="1165"/>
      <c r="L580" s="1165"/>
      <c r="M580" s="1165"/>
    </row>
    <row r="581" spans="3:15" ht="14.45" customHeight="1" x14ac:dyDescent="0.3">
      <c r="C581" s="1169"/>
      <c r="E581" s="590"/>
      <c r="F581" s="507" t="s">
        <v>1404</v>
      </c>
      <c r="G581" s="411"/>
      <c r="H581" s="491"/>
      <c r="I581" s="1168"/>
      <c r="J581" s="1165"/>
      <c r="K581" s="1165"/>
      <c r="L581" s="1165"/>
      <c r="M581" s="1165"/>
    </row>
    <row r="582" spans="3:15" ht="14.45" customHeight="1" x14ac:dyDescent="0.3">
      <c r="C582" s="1169"/>
      <c r="E582" s="597" t="s">
        <v>1365</v>
      </c>
      <c r="F582" s="405" t="s">
        <v>1405</v>
      </c>
      <c r="G582" s="1168" t="s">
        <v>1406</v>
      </c>
      <c r="H582" s="1168" t="s">
        <v>1407</v>
      </c>
      <c r="I582" s="1172" t="s">
        <v>1094</v>
      </c>
      <c r="J582" s="1165"/>
      <c r="K582" s="1165"/>
      <c r="L582" s="1165"/>
      <c r="M582" s="1165"/>
    </row>
    <row r="583" spans="3:15" ht="33" customHeight="1" x14ac:dyDescent="0.3">
      <c r="C583" s="1169"/>
      <c r="E583" s="590"/>
      <c r="F583" s="510" t="s">
        <v>1408</v>
      </c>
      <c r="G583" s="1168"/>
      <c r="H583" s="1168"/>
      <c r="I583" s="1168"/>
      <c r="J583" s="1165"/>
      <c r="K583" s="1165"/>
      <c r="L583" s="1165"/>
      <c r="M583" s="1165"/>
    </row>
    <row r="584" spans="3:15" ht="14.45" customHeight="1" x14ac:dyDescent="0.3">
      <c r="C584" s="1169"/>
      <c r="E584" s="590"/>
      <c r="F584" s="510" t="s">
        <v>1409</v>
      </c>
      <c r="G584" s="382"/>
      <c r="H584" s="381"/>
      <c r="I584" s="1168"/>
      <c r="J584" s="1165"/>
      <c r="K584" s="1165"/>
      <c r="L584" s="1165"/>
      <c r="M584" s="1165"/>
    </row>
    <row r="585" spans="3:15" ht="14.45" customHeight="1" x14ac:dyDescent="0.3">
      <c r="C585" s="1169"/>
      <c r="E585" s="590"/>
      <c r="F585" s="510" t="s">
        <v>1410</v>
      </c>
      <c r="G585" s="382"/>
      <c r="H585" s="381"/>
      <c r="I585" s="405"/>
      <c r="J585" s="1165"/>
      <c r="K585" s="1165"/>
      <c r="L585" s="1165"/>
      <c r="M585" s="1165"/>
    </row>
    <row r="586" spans="3:15" ht="139.5" customHeight="1" x14ac:dyDescent="0.3">
      <c r="C586" s="1169"/>
      <c r="E586" s="593"/>
      <c r="F586" s="507" t="s">
        <v>1411</v>
      </c>
      <c r="G586" s="411"/>
      <c r="H586" s="491" t="s">
        <v>1412</v>
      </c>
      <c r="I586" s="405" t="s">
        <v>1413</v>
      </c>
      <c r="J586" s="1165"/>
      <c r="K586" s="1165"/>
      <c r="L586" s="1165"/>
      <c r="M586" s="1165"/>
    </row>
    <row r="587" spans="3:15" ht="36.75" customHeight="1" x14ac:dyDescent="0.3">
      <c r="C587" s="1169"/>
      <c r="E587" s="597" t="s">
        <v>1365</v>
      </c>
      <c r="F587" s="595" t="s">
        <v>1414</v>
      </c>
      <c r="G587" s="379"/>
      <c r="H587" s="595" t="s">
        <v>1415</v>
      </c>
      <c r="I587" s="380" t="s">
        <v>1094</v>
      </c>
      <c r="J587" s="1165"/>
      <c r="K587" s="1165"/>
      <c r="L587" s="1165"/>
      <c r="M587" s="1165"/>
    </row>
    <row r="588" spans="3:15" ht="33" customHeight="1" x14ac:dyDescent="0.3">
      <c r="C588" s="1169"/>
      <c r="E588" s="598" t="s">
        <v>1365</v>
      </c>
      <c r="F588" s="595" t="s">
        <v>1416</v>
      </c>
      <c r="G588" s="379"/>
      <c r="H588" s="595"/>
      <c r="I588" s="380" t="s">
        <v>1094</v>
      </c>
      <c r="J588" s="1166"/>
      <c r="K588" s="1166"/>
      <c r="L588" s="1166"/>
      <c r="M588" s="1166"/>
    </row>
    <row r="589" spans="3:15" ht="20.100000000000001" customHeight="1" thickBot="1" x14ac:dyDescent="0.35">
      <c r="C589" s="1169"/>
      <c r="E589" s="599"/>
      <c r="F589" s="514"/>
      <c r="G589" s="600"/>
      <c r="H589" s="601"/>
      <c r="I589" s="602"/>
      <c r="J589" s="603">
        <f>SUM(J558:J588)</f>
        <v>10730236</v>
      </c>
      <c r="K589" s="603">
        <f>SUM(K558:K588)</f>
        <v>3575600</v>
      </c>
      <c r="L589" s="603">
        <f>SUM(L558:L588)</f>
        <v>95000</v>
      </c>
      <c r="M589" s="603">
        <f>SUM(M558:M588)</f>
        <v>14400836</v>
      </c>
    </row>
    <row r="590" spans="3:15" ht="14.45" customHeight="1" thickTop="1" x14ac:dyDescent="0.3">
      <c r="C590" s="1169"/>
      <c r="E590" s="385"/>
      <c r="F590" s="385"/>
      <c r="G590" s="385"/>
      <c r="H590" s="385"/>
      <c r="I590" s="385"/>
      <c r="J590" s="414"/>
      <c r="K590" s="414"/>
      <c r="L590" s="414"/>
      <c r="M590" s="414"/>
    </row>
    <row r="591" spans="3:15" ht="14.45" customHeight="1" x14ac:dyDescent="0.3">
      <c r="C591" s="1169"/>
      <c r="E591" s="385" t="s">
        <v>1066</v>
      </c>
      <c r="F591" s="385"/>
      <c r="G591" s="389" t="s">
        <v>1067</v>
      </c>
      <c r="J591" s="389"/>
      <c r="K591" s="389"/>
      <c r="L591" s="390"/>
      <c r="M591" s="390"/>
    </row>
    <row r="592" spans="3:15" ht="14.45" customHeight="1" x14ac:dyDescent="0.3">
      <c r="C592" s="1169"/>
      <c r="E592" s="385"/>
      <c r="F592" s="385"/>
      <c r="G592" s="385"/>
      <c r="H592" s="385"/>
      <c r="J592" s="385"/>
      <c r="K592" s="385"/>
      <c r="L592" s="385"/>
      <c r="M592" s="385"/>
    </row>
    <row r="593" spans="3:13" ht="14.45" customHeight="1" x14ac:dyDescent="0.3">
      <c r="C593" s="1169"/>
      <c r="E593" s="1175" t="s">
        <v>937</v>
      </c>
      <c r="F593" s="1175"/>
      <c r="G593" s="1148" t="s">
        <v>260</v>
      </c>
      <c r="H593" s="1148"/>
      <c r="I593" s="1153" t="s">
        <v>17</v>
      </c>
      <c r="J593" s="1153"/>
      <c r="L593" s="1148" t="s">
        <v>91</v>
      </c>
      <c r="M593" s="1148"/>
    </row>
    <row r="594" spans="3:13" ht="14.45" customHeight="1" x14ac:dyDescent="0.3">
      <c r="C594" s="1169"/>
      <c r="E594" s="1176" t="s">
        <v>877</v>
      </c>
      <c r="F594" s="1176"/>
      <c r="G594" s="1149" t="s">
        <v>13</v>
      </c>
      <c r="H594" s="1149"/>
      <c r="I594" s="1154" t="s">
        <v>18</v>
      </c>
      <c r="J594" s="1154"/>
      <c r="L594" s="1149" t="s">
        <v>1021</v>
      </c>
      <c r="M594" s="1149"/>
    </row>
    <row r="595" spans="3:13" ht="14.45" customHeight="1" x14ac:dyDescent="0.3">
      <c r="C595" s="1169"/>
      <c r="E595" s="391" t="s">
        <v>264</v>
      </c>
      <c r="F595" s="391"/>
      <c r="G595" s="391"/>
      <c r="H595" s="385"/>
      <c r="I595" s="385"/>
      <c r="J595" s="385"/>
      <c r="K595" s="392"/>
      <c r="L595" s="385"/>
      <c r="M595" s="385"/>
    </row>
    <row r="596" spans="3:13" ht="14.45" customHeight="1" x14ac:dyDescent="0.3">
      <c r="C596" s="1169"/>
      <c r="E596" s="393"/>
      <c r="F596" s="393"/>
      <c r="G596" s="393"/>
      <c r="H596" s="385"/>
      <c r="I596" s="385"/>
      <c r="J596" s="385"/>
      <c r="K596" s="394"/>
      <c r="L596" s="385"/>
      <c r="M596" s="385"/>
    </row>
    <row r="597" spans="3:13" ht="14.45" customHeight="1" x14ac:dyDescent="0.3">
      <c r="C597" s="1169"/>
      <c r="E597" s="1148" t="s">
        <v>1495</v>
      </c>
      <c r="F597" s="1148"/>
      <c r="G597" s="395"/>
      <c r="H597" s="395"/>
      <c r="I597" s="395"/>
      <c r="J597" s="396"/>
      <c r="K597" s="396"/>
      <c r="L597" s="397"/>
      <c r="M597" s="393"/>
    </row>
    <row r="598" spans="3:13" ht="15.95" customHeight="1" x14ac:dyDescent="0.3">
      <c r="C598" s="1169"/>
      <c r="E598" s="1149" t="s">
        <v>14</v>
      </c>
      <c r="F598" s="1149"/>
    </row>
    <row r="599" spans="3:13" ht="15.95" customHeight="1" x14ac:dyDescent="0.3">
      <c r="E599" s="519"/>
      <c r="F599" s="519"/>
    </row>
    <row r="600" spans="3:13" ht="15.95" customHeight="1" x14ac:dyDescent="0.3">
      <c r="E600" s="519"/>
      <c r="F600" s="519"/>
    </row>
    <row r="601" spans="3:13" ht="15.95" customHeight="1" x14ac:dyDescent="0.3">
      <c r="E601" s="519"/>
      <c r="F601" s="519"/>
    </row>
    <row r="602" spans="3:13" ht="15.95" customHeight="1" x14ac:dyDescent="0.3">
      <c r="E602" s="519"/>
      <c r="F602" s="519"/>
    </row>
    <row r="603" spans="3:13" ht="15.95" customHeight="1" x14ac:dyDescent="0.3">
      <c r="E603" s="519"/>
      <c r="F603" s="519"/>
    </row>
    <row r="604" spans="3:13" ht="15.95" customHeight="1" x14ac:dyDescent="0.3">
      <c r="E604" s="519"/>
      <c r="F604" s="519"/>
    </row>
    <row r="605" spans="3:13" ht="15.95" customHeight="1" x14ac:dyDescent="0.3"/>
    <row r="606" spans="3:13" ht="14.45" customHeight="1" x14ac:dyDescent="0.3">
      <c r="C606" s="926" t="s">
        <v>1417</v>
      </c>
      <c r="D606" s="385"/>
      <c r="F606" s="1155" t="s">
        <v>1601</v>
      </c>
      <c r="G606" s="1155"/>
      <c r="H606" s="1155"/>
      <c r="I606" s="1155"/>
      <c r="J606" s="1155"/>
      <c r="K606" s="1155"/>
      <c r="L606" s="1155"/>
      <c r="M606" s="360"/>
    </row>
    <row r="607" spans="3:13" ht="14.45" customHeight="1" x14ac:dyDescent="0.3">
      <c r="C607" s="927"/>
      <c r="E607" s="1156" t="s">
        <v>182</v>
      </c>
      <c r="F607" s="1156"/>
      <c r="G607" s="1156"/>
      <c r="H607" s="1156"/>
      <c r="I607" s="1156"/>
      <c r="J607" s="1156"/>
      <c r="K607" s="1156"/>
      <c r="L607" s="1156"/>
      <c r="M607" s="1156"/>
    </row>
    <row r="608" spans="3:13" ht="14.45" customHeight="1" x14ac:dyDescent="0.3">
      <c r="C608" s="927"/>
      <c r="E608" s="358" t="s">
        <v>1027</v>
      </c>
      <c r="F608" s="362" t="s">
        <v>1418</v>
      </c>
    </row>
    <row r="609" spans="3:13" ht="14.45" customHeight="1" x14ac:dyDescent="0.3">
      <c r="C609" s="927"/>
      <c r="E609" s="358" t="s">
        <v>1029</v>
      </c>
      <c r="F609" s="363" t="s">
        <v>1419</v>
      </c>
    </row>
    <row r="610" spans="3:13" ht="14.45" customHeight="1" x14ac:dyDescent="0.3">
      <c r="C610" s="927"/>
      <c r="E610" s="358" t="s">
        <v>1031</v>
      </c>
      <c r="F610" s="1147" t="s">
        <v>1420</v>
      </c>
      <c r="G610" s="1147"/>
      <c r="H610" s="1147"/>
      <c r="I610" s="1147"/>
      <c r="J610" s="1147"/>
      <c r="K610" s="1147"/>
      <c r="L610" s="1147"/>
      <c r="M610" s="1147"/>
    </row>
    <row r="611" spans="3:13" ht="14.45" customHeight="1" x14ac:dyDescent="0.3">
      <c r="C611" s="927"/>
      <c r="E611" s="358" t="s">
        <v>1033</v>
      </c>
      <c r="F611" s="1147" t="s">
        <v>1421</v>
      </c>
      <c r="G611" s="1147"/>
      <c r="H611" s="1147"/>
      <c r="I611" s="1147"/>
      <c r="J611" s="1147"/>
      <c r="K611" s="1147"/>
      <c r="L611" s="1147"/>
      <c r="M611" s="1147"/>
    </row>
    <row r="612" spans="3:13" ht="14.45" customHeight="1" x14ac:dyDescent="0.3">
      <c r="C612" s="927"/>
      <c r="E612" s="366" t="s">
        <v>1422</v>
      </c>
      <c r="F612" s="366"/>
      <c r="G612" s="366"/>
      <c r="H612" s="366"/>
      <c r="I612" s="366"/>
      <c r="J612" s="366"/>
      <c r="K612" s="366"/>
      <c r="L612" s="366"/>
      <c r="M612" s="366"/>
    </row>
    <row r="613" spans="3:13" ht="14.45" customHeight="1" x14ac:dyDescent="0.3">
      <c r="C613" s="927"/>
      <c r="E613" s="1158" t="s">
        <v>1036</v>
      </c>
      <c r="F613" s="367" t="s">
        <v>648</v>
      </c>
      <c r="G613" s="1160" t="s">
        <v>650</v>
      </c>
      <c r="H613" s="367" t="s">
        <v>651</v>
      </c>
      <c r="I613" s="1158" t="s">
        <v>1037</v>
      </c>
      <c r="J613" s="1162" t="s">
        <v>1602</v>
      </c>
      <c r="K613" s="1162"/>
      <c r="L613" s="1162"/>
      <c r="M613" s="1163"/>
    </row>
    <row r="614" spans="3:13" ht="14.45" customHeight="1" x14ac:dyDescent="0.3">
      <c r="C614" s="927"/>
      <c r="E614" s="1159"/>
      <c r="F614" s="486" t="s">
        <v>649</v>
      </c>
      <c r="G614" s="1161"/>
      <c r="H614" s="486" t="s">
        <v>652</v>
      </c>
      <c r="I614" s="1159"/>
      <c r="J614" s="369" t="s">
        <v>283</v>
      </c>
      <c r="K614" s="370" t="s">
        <v>284</v>
      </c>
      <c r="L614" s="371" t="s">
        <v>285</v>
      </c>
      <c r="M614" s="372" t="s">
        <v>15</v>
      </c>
    </row>
    <row r="615" spans="3:13" ht="14.45" customHeight="1" x14ac:dyDescent="0.3">
      <c r="C615" s="927"/>
      <c r="E615" s="373" t="s">
        <v>1423</v>
      </c>
      <c r="F615" s="1172" t="s">
        <v>1424</v>
      </c>
      <c r="G615" s="1172" t="s">
        <v>1611</v>
      </c>
      <c r="H615" s="1172" t="s">
        <v>1425</v>
      </c>
      <c r="I615" s="403" t="s">
        <v>1426</v>
      </c>
      <c r="J615" s="1164">
        <f>'[1]LBP NO. 2'!M918</f>
        <v>993914</v>
      </c>
      <c r="K615" s="1164">
        <f>'[1]LBP NO. 2'!M926</f>
        <v>319000</v>
      </c>
      <c r="L615" s="1164">
        <f>'[1]LBP NO. 2'!M931</f>
        <v>270000</v>
      </c>
      <c r="M615" s="1164">
        <f>SUM(J615:L674)</f>
        <v>1582914</v>
      </c>
    </row>
    <row r="616" spans="3:13" ht="20.25" customHeight="1" x14ac:dyDescent="0.3">
      <c r="C616" s="927"/>
      <c r="E616" s="374"/>
      <c r="F616" s="1168"/>
      <c r="G616" s="1168"/>
      <c r="H616" s="1168"/>
      <c r="I616" s="405"/>
      <c r="J616" s="1165"/>
      <c r="K616" s="1165"/>
      <c r="L616" s="1165"/>
      <c r="M616" s="1165"/>
    </row>
    <row r="617" spans="3:13" ht="14.45" customHeight="1" x14ac:dyDescent="0.3">
      <c r="C617" s="927"/>
      <c r="E617" s="374"/>
      <c r="F617" s="1168"/>
      <c r="G617" s="924"/>
      <c r="H617" s="1168"/>
      <c r="I617" s="405"/>
      <c r="J617" s="1165"/>
      <c r="K617" s="1165"/>
      <c r="L617" s="1165"/>
      <c r="M617" s="1165"/>
    </row>
    <row r="618" spans="3:13" ht="14.45" customHeight="1" x14ac:dyDescent="0.3">
      <c r="C618" s="927"/>
      <c r="E618" s="374"/>
      <c r="F618" s="405" t="s">
        <v>1427</v>
      </c>
      <c r="G618" s="1168" t="s">
        <v>1613</v>
      </c>
      <c r="H618" s="924"/>
      <c r="I618" s="405" t="s">
        <v>1426</v>
      </c>
      <c r="J618" s="1165"/>
      <c r="K618" s="1165"/>
      <c r="L618" s="1165"/>
      <c r="M618" s="1165"/>
    </row>
    <row r="619" spans="3:13" ht="22.5" customHeight="1" x14ac:dyDescent="0.3">
      <c r="C619" s="927"/>
      <c r="E619" s="374"/>
      <c r="F619" s="924"/>
      <c r="G619" s="1168"/>
      <c r="H619" s="924"/>
      <c r="I619" s="924"/>
      <c r="J619" s="1165"/>
      <c r="K619" s="1165"/>
      <c r="L619" s="1165"/>
      <c r="M619" s="1165"/>
    </row>
    <row r="620" spans="3:13" ht="22.5" customHeight="1" x14ac:dyDescent="0.3">
      <c r="C620" s="927"/>
      <c r="E620" s="374"/>
      <c r="F620" s="924"/>
      <c r="G620" s="921"/>
      <c r="H620" s="924"/>
      <c r="I620" s="924"/>
      <c r="J620" s="1165"/>
      <c r="K620" s="1165"/>
      <c r="L620" s="1165"/>
      <c r="M620" s="1165"/>
    </row>
    <row r="621" spans="3:13" ht="15.75" customHeight="1" x14ac:dyDescent="0.3">
      <c r="C621" s="927"/>
      <c r="E621" s="374"/>
      <c r="F621" s="924"/>
      <c r="G621" s="1168" t="s">
        <v>1612</v>
      </c>
      <c r="H621" s="1168" t="s">
        <v>1614</v>
      </c>
      <c r="I621" s="924"/>
      <c r="J621" s="1165"/>
      <c r="K621" s="1165"/>
      <c r="L621" s="1165"/>
      <c r="M621" s="1165"/>
    </row>
    <row r="622" spans="3:13" ht="17.25" customHeight="1" x14ac:dyDescent="0.3">
      <c r="C622" s="927"/>
      <c r="E622" s="374"/>
      <c r="F622" s="924"/>
      <c r="G622" s="1168"/>
      <c r="H622" s="1168"/>
      <c r="I622" s="924"/>
      <c r="J622" s="1165"/>
      <c r="K622" s="1165"/>
      <c r="L622" s="1165"/>
      <c r="M622" s="1165"/>
    </row>
    <row r="623" spans="3:13" ht="17.25" customHeight="1" x14ac:dyDescent="0.3">
      <c r="C623" s="927"/>
      <c r="E623" s="374"/>
      <c r="F623" s="924"/>
      <c r="G623" s="921"/>
      <c r="H623" s="1168"/>
      <c r="I623" s="924"/>
      <c r="J623" s="1165"/>
      <c r="K623" s="1165"/>
      <c r="L623" s="1165"/>
      <c r="M623" s="1165"/>
    </row>
    <row r="624" spans="3:13" ht="17.25" customHeight="1" x14ac:dyDescent="0.3">
      <c r="C624" s="927"/>
      <c r="E624" s="374"/>
      <c r="F624" s="924" t="s">
        <v>1610</v>
      </c>
      <c r="G624" s="921"/>
      <c r="H624" s="924"/>
      <c r="I624" s="924"/>
      <c r="J624" s="1165"/>
      <c r="K624" s="1165"/>
      <c r="L624" s="1165"/>
      <c r="M624" s="1165"/>
    </row>
    <row r="625" spans="3:13" ht="14.45" customHeight="1" x14ac:dyDescent="0.3">
      <c r="C625" s="927"/>
      <c r="E625" s="375"/>
      <c r="F625" s="383"/>
      <c r="G625" s="925"/>
      <c r="H625" s="925"/>
      <c r="I625" s="383"/>
      <c r="J625" s="1165"/>
      <c r="K625" s="1165"/>
      <c r="L625" s="1165"/>
      <c r="M625" s="1165"/>
    </row>
    <row r="626" spans="3:13" ht="14.45" customHeight="1" x14ac:dyDescent="0.3">
      <c r="C626" s="927"/>
      <c r="E626" s="373" t="s">
        <v>1423</v>
      </c>
      <c r="F626" s="1172" t="s">
        <v>1428</v>
      </c>
      <c r="G626" s="1173" t="s">
        <v>1429</v>
      </c>
      <c r="H626" s="1173" t="s">
        <v>1430</v>
      </c>
      <c r="I626" s="403" t="s">
        <v>1431</v>
      </c>
      <c r="J626" s="1165"/>
      <c r="K626" s="1165"/>
      <c r="L626" s="1165"/>
      <c r="M626" s="1165"/>
    </row>
    <row r="627" spans="3:13" ht="26.25" customHeight="1" x14ac:dyDescent="0.3">
      <c r="C627" s="927"/>
      <c r="E627" s="374"/>
      <c r="F627" s="1168"/>
      <c r="G627" s="1174"/>
      <c r="H627" s="1174"/>
      <c r="I627" s="405"/>
      <c r="J627" s="1165"/>
      <c r="K627" s="1165"/>
      <c r="L627" s="1165"/>
      <c r="M627" s="1165"/>
    </row>
    <row r="628" spans="3:13" ht="14.45" customHeight="1" x14ac:dyDescent="0.3">
      <c r="C628" s="927"/>
      <c r="E628" s="374"/>
      <c r="F628" s="405"/>
      <c r="G628" s="1174"/>
      <c r="H628" s="1174"/>
      <c r="I628" s="405"/>
      <c r="J628" s="1165"/>
      <c r="K628" s="1165"/>
      <c r="L628" s="1165"/>
      <c r="M628" s="1165"/>
    </row>
    <row r="629" spans="3:13" ht="14.45" customHeight="1" x14ac:dyDescent="0.3">
      <c r="C629" s="927"/>
      <c r="E629" s="374"/>
      <c r="F629" s="1168" t="s">
        <v>1432</v>
      </c>
      <c r="G629" s="1174"/>
      <c r="H629" s="1174"/>
      <c r="I629" s="405" t="s">
        <v>1426</v>
      </c>
      <c r="J629" s="1165"/>
      <c r="K629" s="1165"/>
      <c r="L629" s="1165"/>
      <c r="M629" s="1165"/>
    </row>
    <row r="630" spans="3:13" ht="25.5" customHeight="1" x14ac:dyDescent="0.3">
      <c r="C630" s="927"/>
      <c r="E630" s="374"/>
      <c r="F630" s="1168"/>
      <c r="G630" s="1174"/>
      <c r="H630" s="1174"/>
      <c r="I630" s="405"/>
      <c r="J630" s="1165"/>
      <c r="K630" s="1165"/>
      <c r="L630" s="1165"/>
      <c r="M630" s="1165"/>
    </row>
    <row r="631" spans="3:13" ht="14.45" customHeight="1" x14ac:dyDescent="0.3">
      <c r="C631" s="927"/>
      <c r="E631" s="374"/>
      <c r="F631" s="405"/>
      <c r="G631" s="1174"/>
      <c r="H631" s="1174"/>
      <c r="I631" s="405"/>
      <c r="J631" s="1165"/>
      <c r="K631" s="1165"/>
      <c r="L631" s="1165"/>
      <c r="M631" s="1165"/>
    </row>
    <row r="632" spans="3:13" ht="14.45" customHeight="1" x14ac:dyDescent="0.3">
      <c r="C632" s="927"/>
      <c r="E632" s="374"/>
      <c r="F632" s="1168" t="s">
        <v>1433</v>
      </c>
      <c r="G632" s="1174"/>
      <c r="H632" s="1174"/>
      <c r="I632" s="1174" t="s">
        <v>1434</v>
      </c>
      <c r="J632" s="1165"/>
      <c r="K632" s="1165"/>
      <c r="L632" s="1165"/>
      <c r="M632" s="1165"/>
    </row>
    <row r="633" spans="3:13" ht="22.5" customHeight="1" x14ac:dyDescent="0.3">
      <c r="C633" s="1169"/>
      <c r="E633" s="374"/>
      <c r="F633" s="1168"/>
      <c r="G633" s="1174"/>
      <c r="H633" s="1174"/>
      <c r="I633" s="1174"/>
      <c r="J633" s="1165"/>
      <c r="K633" s="1165"/>
      <c r="L633" s="1165"/>
      <c r="M633" s="1165"/>
    </row>
    <row r="634" spans="3:13" ht="14.45" customHeight="1" x14ac:dyDescent="0.3">
      <c r="C634" s="1169"/>
      <c r="E634" s="374"/>
      <c r="F634" s="382"/>
      <c r="G634" s="1174"/>
      <c r="H634" s="1174"/>
      <c r="I634" s="405"/>
      <c r="J634" s="1165"/>
      <c r="K634" s="1165"/>
      <c r="L634" s="1165"/>
      <c r="M634" s="1165"/>
    </row>
    <row r="635" spans="3:13" ht="14.45" customHeight="1" x14ac:dyDescent="0.3">
      <c r="C635" s="1169"/>
      <c r="E635" s="374"/>
      <c r="F635" s="1168" t="s">
        <v>1435</v>
      </c>
      <c r="G635" s="1174"/>
      <c r="H635" s="1174"/>
      <c r="I635" s="1174" t="s">
        <v>1436</v>
      </c>
      <c r="J635" s="1165"/>
      <c r="K635" s="1165"/>
      <c r="L635" s="1165"/>
      <c r="M635" s="1165"/>
    </row>
    <row r="636" spans="3:13" ht="22.5" customHeight="1" x14ac:dyDescent="0.3">
      <c r="C636" s="1169"/>
      <c r="E636" s="374"/>
      <c r="F636" s="1168"/>
      <c r="G636" s="1174"/>
      <c r="H636" s="1174"/>
      <c r="I636" s="1174"/>
      <c r="J636" s="1165"/>
      <c r="K636" s="1165"/>
      <c r="L636" s="1165"/>
      <c r="M636" s="1165"/>
    </row>
    <row r="637" spans="3:13" ht="14.45" customHeight="1" x14ac:dyDescent="0.3">
      <c r="C637" s="1169"/>
      <c r="E637" s="374"/>
      <c r="F637" s="382"/>
      <c r="G637" s="1174"/>
      <c r="H637" s="1174"/>
      <c r="I637" s="405"/>
      <c r="J637" s="1165"/>
      <c r="K637" s="1165"/>
      <c r="L637" s="1165"/>
      <c r="M637" s="1165"/>
    </row>
    <row r="638" spans="3:13" ht="14.45" customHeight="1" x14ac:dyDescent="0.3">
      <c r="C638" s="1169"/>
      <c r="E638" s="374"/>
      <c r="F638" s="1168" t="s">
        <v>1437</v>
      </c>
      <c r="G638" s="1174"/>
      <c r="H638" s="1174"/>
      <c r="I638" s="1174" t="s">
        <v>1438</v>
      </c>
      <c r="J638" s="1165"/>
      <c r="K638" s="1165"/>
      <c r="L638" s="1165"/>
      <c r="M638" s="1165"/>
    </row>
    <row r="639" spans="3:13" ht="22.5" customHeight="1" x14ac:dyDescent="0.3">
      <c r="C639" s="1169"/>
      <c r="E639" s="374"/>
      <c r="F639" s="1168"/>
      <c r="G639" s="1174"/>
      <c r="H639" s="1174"/>
      <c r="I639" s="1174"/>
      <c r="J639" s="1165"/>
      <c r="K639" s="1165"/>
      <c r="L639" s="1165"/>
      <c r="M639" s="1165"/>
    </row>
    <row r="640" spans="3:13" ht="22.5" customHeight="1" x14ac:dyDescent="0.3">
      <c r="C640" s="1169"/>
      <c r="E640" s="374"/>
      <c r="F640" s="921"/>
      <c r="G640" s="613"/>
      <c r="H640" s="613"/>
      <c r="I640" s="923"/>
      <c r="J640" s="1165"/>
      <c r="K640" s="1165"/>
      <c r="L640" s="1165"/>
      <c r="M640" s="1165"/>
    </row>
    <row r="641" spans="3:13" ht="22.5" customHeight="1" x14ac:dyDescent="0.3">
      <c r="C641" s="1169"/>
      <c r="E641" s="374"/>
      <c r="F641" s="1168" t="s">
        <v>1615</v>
      </c>
      <c r="G641" s="1174" t="s">
        <v>1616</v>
      </c>
      <c r="H641" s="613" t="s">
        <v>1617</v>
      </c>
      <c r="I641" s="923"/>
      <c r="J641" s="1165"/>
      <c r="K641" s="1165"/>
      <c r="L641" s="1165"/>
      <c r="M641" s="1165"/>
    </row>
    <row r="642" spans="3:13" ht="22.5" customHeight="1" x14ac:dyDescent="0.3">
      <c r="C642" s="1169"/>
      <c r="E642" s="374"/>
      <c r="F642" s="1168"/>
      <c r="G642" s="1174"/>
      <c r="H642" s="613"/>
      <c r="I642" s="923"/>
      <c r="J642" s="1165"/>
      <c r="K642" s="1165"/>
      <c r="L642" s="1165"/>
      <c r="M642" s="1165"/>
    </row>
    <row r="643" spans="3:13" ht="14.45" customHeight="1" x14ac:dyDescent="0.3">
      <c r="C643" s="1169"/>
      <c r="E643" s="375"/>
      <c r="F643" s="411"/>
      <c r="G643" s="928"/>
      <c r="H643" s="928"/>
      <c r="I643" s="383"/>
      <c r="J643" s="1165"/>
      <c r="K643" s="1165"/>
      <c r="L643" s="1165"/>
      <c r="M643" s="1165"/>
    </row>
    <row r="644" spans="3:13" ht="14.45" customHeight="1" x14ac:dyDescent="0.3">
      <c r="C644" s="1169"/>
      <c r="E644" s="373" t="s">
        <v>1423</v>
      </c>
      <c r="F644" s="1172" t="s">
        <v>1439</v>
      </c>
      <c r="G644" s="1172" t="s">
        <v>1440</v>
      </c>
      <c r="H644" s="1172" t="s">
        <v>1441</v>
      </c>
      <c r="I644" s="1174" t="s">
        <v>1442</v>
      </c>
      <c r="J644" s="1165"/>
      <c r="K644" s="1165"/>
      <c r="L644" s="1165"/>
      <c r="M644" s="1165"/>
    </row>
    <row r="645" spans="3:13" ht="24" customHeight="1" x14ac:dyDescent="0.3">
      <c r="C645" s="1169"/>
      <c r="E645" s="374"/>
      <c r="F645" s="1168"/>
      <c r="G645" s="1168"/>
      <c r="H645" s="1168"/>
      <c r="I645" s="1174"/>
      <c r="J645" s="1165"/>
      <c r="K645" s="1165"/>
      <c r="L645" s="1165"/>
      <c r="M645" s="1165"/>
    </row>
    <row r="646" spans="3:13" ht="14.45" customHeight="1" x14ac:dyDescent="0.3">
      <c r="C646" s="1169"/>
      <c r="E646" s="374"/>
      <c r="F646" s="382"/>
      <c r="G646" s="1168"/>
      <c r="H646" s="1168"/>
      <c r="I646" s="604"/>
      <c r="J646" s="1165"/>
      <c r="K646" s="1165"/>
      <c r="L646" s="1165"/>
      <c r="M646" s="1165"/>
    </row>
    <row r="647" spans="3:13" ht="14.45" customHeight="1" x14ac:dyDescent="0.3">
      <c r="C647" s="1169"/>
      <c r="E647" s="374"/>
      <c r="F647" s="382"/>
      <c r="G647" s="1168"/>
      <c r="H647" s="1168"/>
      <c r="I647" s="604"/>
      <c r="J647" s="1165"/>
      <c r="K647" s="1165"/>
      <c r="L647" s="1165"/>
      <c r="M647" s="1165"/>
    </row>
    <row r="648" spans="3:13" ht="14.45" customHeight="1" x14ac:dyDescent="0.3">
      <c r="C648" s="1169"/>
      <c r="E648" s="374"/>
      <c r="F648" s="921" t="s">
        <v>1618</v>
      </c>
      <c r="G648" s="921"/>
      <c r="H648" s="921"/>
      <c r="I648" s="923"/>
      <c r="J648" s="1165"/>
      <c r="K648" s="1165"/>
      <c r="L648" s="1165"/>
      <c r="M648" s="1165"/>
    </row>
    <row r="649" spans="3:13" ht="14.45" customHeight="1" x14ac:dyDescent="0.3">
      <c r="C649" s="1169"/>
      <c r="E649" s="374"/>
      <c r="F649" s="921"/>
      <c r="G649" s="921"/>
      <c r="H649" s="921"/>
      <c r="I649" s="923"/>
      <c r="J649" s="1165"/>
      <c r="K649" s="1165"/>
      <c r="L649" s="1165"/>
      <c r="M649" s="1165"/>
    </row>
    <row r="650" spans="3:13" ht="14.45" customHeight="1" x14ac:dyDescent="0.3">
      <c r="C650" s="1169"/>
      <c r="E650" s="374"/>
      <c r="F650" s="921" t="s">
        <v>1619</v>
      </c>
      <c r="G650" s="1168" t="s">
        <v>1620</v>
      </c>
      <c r="H650" s="1168" t="s">
        <v>1621</v>
      </c>
      <c r="I650" s="1168"/>
      <c r="J650" s="1165"/>
      <c r="K650" s="1165"/>
      <c r="L650" s="1165"/>
      <c r="M650" s="1165"/>
    </row>
    <row r="651" spans="3:13" ht="14.45" customHeight="1" x14ac:dyDescent="0.3">
      <c r="C651" s="1169"/>
      <c r="E651" s="374"/>
      <c r="F651" s="921"/>
      <c r="G651" s="1168"/>
      <c r="H651" s="1168"/>
      <c r="I651" s="1168"/>
      <c r="J651" s="1165"/>
      <c r="K651" s="1165"/>
      <c r="L651" s="1165"/>
      <c r="M651" s="1165"/>
    </row>
    <row r="652" spans="3:13" ht="25.5" customHeight="1" x14ac:dyDescent="0.3">
      <c r="C652" s="1169"/>
      <c r="E652" s="374"/>
      <c r="F652" s="921"/>
      <c r="G652" s="1168"/>
      <c r="H652" s="1168"/>
      <c r="I652" s="1168"/>
      <c r="J652" s="1165"/>
      <c r="K652" s="1165"/>
      <c r="L652" s="1165"/>
      <c r="M652" s="1165"/>
    </row>
    <row r="653" spans="3:13" ht="14.45" customHeight="1" x14ac:dyDescent="0.3">
      <c r="C653" s="1169"/>
      <c r="E653" s="374"/>
      <c r="F653" s="921"/>
      <c r="G653" s="921"/>
      <c r="H653" s="921"/>
      <c r="I653" s="923"/>
      <c r="J653" s="1165"/>
      <c r="K653" s="1165"/>
      <c r="L653" s="1165"/>
      <c r="M653" s="1165"/>
    </row>
    <row r="654" spans="3:13" ht="22.5" customHeight="1" x14ac:dyDescent="0.3">
      <c r="C654" s="1169"/>
      <c r="E654" s="374"/>
      <c r="F654" s="923" t="s">
        <v>1444</v>
      </c>
      <c r="G654" s="613" t="s">
        <v>1443</v>
      </c>
      <c r="H654" s="1168"/>
      <c r="I654" s="604"/>
      <c r="J654" s="1165"/>
      <c r="K654" s="1165"/>
      <c r="L654" s="1165"/>
      <c r="M654" s="1165"/>
    </row>
    <row r="655" spans="3:13" ht="14.45" customHeight="1" x14ac:dyDescent="0.3">
      <c r="C655" s="1169"/>
      <c r="E655" s="374"/>
      <c r="F655" s="382" t="s">
        <v>1622</v>
      </c>
      <c r="G655" s="405" t="s">
        <v>1623</v>
      </c>
      <c r="H655" s="1168"/>
      <c r="I655" s="604"/>
      <c r="J655" s="1165"/>
      <c r="K655" s="1165"/>
      <c r="L655" s="1165"/>
      <c r="M655" s="1165"/>
    </row>
    <row r="656" spans="3:13" ht="14.45" customHeight="1" x14ac:dyDescent="0.3">
      <c r="C656" s="1169"/>
      <c r="E656" s="375"/>
      <c r="F656" s="411"/>
      <c r="G656" s="383"/>
      <c r="H656" s="383"/>
      <c r="I656" s="383"/>
      <c r="J656" s="1165"/>
      <c r="K656" s="1165"/>
      <c r="L656" s="1165"/>
      <c r="M656" s="1165"/>
    </row>
    <row r="657" spans="3:13" ht="14.45" customHeight="1" x14ac:dyDescent="0.3">
      <c r="C657" s="1169"/>
      <c r="E657" s="373" t="s">
        <v>1423</v>
      </c>
      <c r="F657" s="1172" t="s">
        <v>1445</v>
      </c>
      <c r="G657" s="1173" t="s">
        <v>1446</v>
      </c>
      <c r="H657" s="1172" t="s">
        <v>1447</v>
      </c>
      <c r="I657" s="403" t="s">
        <v>1426</v>
      </c>
      <c r="J657" s="1165"/>
      <c r="K657" s="1165"/>
      <c r="L657" s="1165"/>
      <c r="M657" s="1165"/>
    </row>
    <row r="658" spans="3:13" ht="14.45" customHeight="1" x14ac:dyDescent="0.3">
      <c r="C658" s="1169"/>
      <c r="E658" s="374"/>
      <c r="F658" s="1168"/>
      <c r="G658" s="1174"/>
      <c r="H658" s="1168"/>
      <c r="I658" s="405"/>
      <c r="J658" s="1165"/>
      <c r="K658" s="1165"/>
      <c r="L658" s="1165"/>
      <c r="M658" s="1165"/>
    </row>
    <row r="659" spans="3:13" ht="14.45" customHeight="1" x14ac:dyDescent="0.3">
      <c r="C659" s="1169"/>
      <c r="E659" s="374"/>
      <c r="F659" s="1168"/>
      <c r="G659" s="1174"/>
      <c r="H659" s="1168"/>
      <c r="I659" s="405"/>
      <c r="J659" s="1165"/>
      <c r="K659" s="1165"/>
      <c r="L659" s="1165"/>
      <c r="M659" s="1165"/>
    </row>
    <row r="660" spans="3:13" ht="14.45" customHeight="1" x14ac:dyDescent="0.3">
      <c r="C660" s="1169"/>
      <c r="E660" s="374"/>
      <c r="F660" s="382"/>
      <c r="G660" s="1174"/>
      <c r="H660" s="1168"/>
      <c r="I660" s="405"/>
      <c r="J660" s="1165"/>
      <c r="K660" s="1165"/>
      <c r="L660" s="1165"/>
      <c r="M660" s="1165"/>
    </row>
    <row r="661" spans="3:13" ht="14.45" customHeight="1" x14ac:dyDescent="0.3">
      <c r="C661" s="1169"/>
      <c r="E661" s="374"/>
      <c r="F661" s="382" t="s">
        <v>1448</v>
      </c>
      <c r="G661" s="1174"/>
      <c r="H661" s="1168"/>
      <c r="I661" s="405" t="s">
        <v>1449</v>
      </c>
      <c r="J661" s="1165"/>
      <c r="K661" s="1165"/>
      <c r="L661" s="1165"/>
      <c r="M661" s="1165"/>
    </row>
    <row r="662" spans="3:13" ht="15.95" customHeight="1" x14ac:dyDescent="0.3">
      <c r="C662" s="1169"/>
      <c r="E662" s="374"/>
      <c r="F662" s="382"/>
      <c r="G662" s="1174"/>
      <c r="H662" s="1168"/>
      <c r="I662" s="405"/>
      <c r="J662" s="1165"/>
      <c r="K662" s="1165"/>
      <c r="L662" s="1165"/>
      <c r="M662" s="1165"/>
    </row>
    <row r="663" spans="3:13" ht="15.95" customHeight="1" x14ac:dyDescent="0.3">
      <c r="C663" s="1169"/>
      <c r="E663" s="375"/>
      <c r="F663" s="411"/>
      <c r="G663" s="605"/>
      <c r="H663" s="411"/>
      <c r="I663" s="383"/>
      <c r="J663" s="1165"/>
      <c r="K663" s="1165"/>
      <c r="L663" s="1165"/>
      <c r="M663" s="1165"/>
    </row>
    <row r="664" spans="3:13" ht="14.45" customHeight="1" x14ac:dyDescent="0.3">
      <c r="C664" s="1152" t="s">
        <v>1014</v>
      </c>
      <c r="E664" s="373" t="s">
        <v>1423</v>
      </c>
      <c r="F664" s="1170" t="s">
        <v>1450</v>
      </c>
      <c r="G664" s="1172" t="s">
        <v>1451</v>
      </c>
      <c r="H664" s="1170" t="s">
        <v>1447</v>
      </c>
      <c r="I664" s="1172" t="s">
        <v>1452</v>
      </c>
      <c r="J664" s="1165"/>
      <c r="K664" s="1165"/>
      <c r="L664" s="1165"/>
      <c r="M664" s="1165"/>
    </row>
    <row r="665" spans="3:13" ht="14.45" customHeight="1" x14ac:dyDescent="0.3">
      <c r="C665" s="1169"/>
      <c r="E665" s="376"/>
      <c r="F665" s="1171"/>
      <c r="G665" s="1168"/>
      <c r="H665" s="1171"/>
      <c r="I665" s="1168"/>
      <c r="J665" s="1165"/>
      <c r="K665" s="1165"/>
      <c r="L665" s="1165"/>
      <c r="M665" s="1165"/>
    </row>
    <row r="666" spans="3:13" ht="63" customHeight="1" x14ac:dyDescent="0.3">
      <c r="C666" s="1169"/>
      <c r="E666" s="376"/>
      <c r="F666" s="1171"/>
      <c r="G666" s="1168"/>
      <c r="H666" s="1171"/>
      <c r="I666" s="1168"/>
      <c r="J666" s="1165"/>
      <c r="K666" s="1165"/>
      <c r="L666" s="1165"/>
      <c r="M666" s="1165"/>
    </row>
    <row r="667" spans="3:13" ht="15" customHeight="1" x14ac:dyDescent="0.3">
      <c r="C667" s="1169"/>
      <c r="E667" s="376"/>
      <c r="F667" s="922"/>
      <c r="G667" s="921"/>
      <c r="H667" s="922"/>
      <c r="I667" s="921"/>
      <c r="J667" s="1165"/>
      <c r="K667" s="1165"/>
      <c r="L667" s="1165"/>
      <c r="M667" s="1165"/>
    </row>
    <row r="668" spans="3:13" ht="17.100000000000001" customHeight="1" x14ac:dyDescent="0.3">
      <c r="C668" s="1169"/>
      <c r="E668" s="376"/>
      <c r="F668" s="1171" t="s">
        <v>1624</v>
      </c>
      <c r="G668" s="1168" t="s">
        <v>1625</v>
      </c>
      <c r="H668" s="1171" t="s">
        <v>1626</v>
      </c>
      <c r="I668" s="921" t="s">
        <v>1627</v>
      </c>
      <c r="J668" s="1165"/>
      <c r="K668" s="1165"/>
      <c r="L668" s="1165"/>
      <c r="M668" s="1165"/>
    </row>
    <row r="669" spans="3:13" ht="17.100000000000001" customHeight="1" x14ac:dyDescent="0.3">
      <c r="C669" s="1169"/>
      <c r="E669" s="376"/>
      <c r="F669" s="1171"/>
      <c r="G669" s="1168"/>
      <c r="H669" s="1171"/>
      <c r="I669" s="921"/>
      <c r="J669" s="1165"/>
      <c r="K669" s="1165"/>
      <c r="L669" s="1165"/>
      <c r="M669" s="1165"/>
    </row>
    <row r="670" spans="3:13" ht="17.100000000000001" customHeight="1" x14ac:dyDescent="0.3">
      <c r="C670" s="1169"/>
      <c r="E670" s="376"/>
      <c r="F670" s="1171"/>
      <c r="G670" s="1168"/>
      <c r="H670" s="922"/>
      <c r="I670" s="921"/>
      <c r="J670" s="1165"/>
      <c r="K670" s="1165"/>
      <c r="L670" s="1165"/>
      <c r="M670" s="1165"/>
    </row>
    <row r="671" spans="3:13" ht="15" customHeight="1" x14ac:dyDescent="0.3">
      <c r="C671" s="1169"/>
      <c r="E671" s="376"/>
      <c r="F671" s="922"/>
      <c r="G671" s="921"/>
      <c r="H671" s="922"/>
      <c r="I671" s="921"/>
      <c r="J671" s="1165"/>
      <c r="K671" s="1165"/>
      <c r="L671" s="1165"/>
      <c r="M671" s="1165"/>
    </row>
    <row r="672" spans="3:13" ht="14.45" customHeight="1" x14ac:dyDescent="0.3">
      <c r="C672" s="1169"/>
      <c r="E672" s="373" t="s">
        <v>1423</v>
      </c>
      <c r="F672" s="1170" t="s">
        <v>1453</v>
      </c>
      <c r="G672" s="1173" t="s">
        <v>1454</v>
      </c>
      <c r="H672" s="1173" t="s">
        <v>1455</v>
      </c>
      <c r="I672" s="403" t="s">
        <v>1456</v>
      </c>
      <c r="J672" s="1165"/>
      <c r="K672" s="1165"/>
      <c r="L672" s="1165"/>
      <c r="M672" s="1165"/>
    </row>
    <row r="673" spans="3:13" ht="30.75" customHeight="1" x14ac:dyDescent="0.3">
      <c r="C673" s="1169"/>
      <c r="E673" s="374"/>
      <c r="F673" s="1171"/>
      <c r="G673" s="1174"/>
      <c r="H673" s="1174"/>
      <c r="I673" s="405"/>
      <c r="J673" s="1165"/>
      <c r="K673" s="1165"/>
      <c r="L673" s="1165"/>
      <c r="M673" s="1165"/>
    </row>
    <row r="674" spans="3:13" ht="14.45" customHeight="1" x14ac:dyDescent="0.3">
      <c r="C674" s="1169"/>
      <c r="E674" s="374"/>
      <c r="F674" s="510"/>
      <c r="G674" s="1174"/>
      <c r="H674" s="1174"/>
      <c r="I674" s="1168" t="s">
        <v>1457</v>
      </c>
      <c r="J674" s="1165"/>
      <c r="K674" s="1165"/>
      <c r="L674" s="1165"/>
      <c r="M674" s="1165"/>
    </row>
    <row r="675" spans="3:13" ht="36.75" customHeight="1" x14ac:dyDescent="0.3">
      <c r="C675" s="1169"/>
      <c r="E675" s="374"/>
      <c r="F675" s="510" t="s">
        <v>1628</v>
      </c>
      <c r="G675" s="1174"/>
      <c r="H675" s="1174"/>
      <c r="I675" s="1168"/>
      <c r="J675" s="1166"/>
      <c r="K675" s="1166"/>
      <c r="L675" s="1166"/>
      <c r="M675" s="1166"/>
    </row>
    <row r="676" spans="3:13" ht="20.100000000000001" customHeight="1" thickBot="1" x14ac:dyDescent="0.35">
      <c r="C676" s="1169"/>
      <c r="E676" s="513"/>
      <c r="F676" s="514"/>
      <c r="G676" s="606"/>
      <c r="H676" s="606"/>
      <c r="I676" s="607"/>
      <c r="J676" s="608">
        <f>SUM(J615:J675)</f>
        <v>993914</v>
      </c>
      <c r="K676" s="608">
        <f>SUM(K615:K675)</f>
        <v>319000</v>
      </c>
      <c r="L676" s="608">
        <f>SUM(L615:L675)</f>
        <v>270000</v>
      </c>
      <c r="M676" s="609">
        <f>SUM(M615:M675)</f>
        <v>1582914</v>
      </c>
    </row>
    <row r="677" spans="3:13" ht="14.45" customHeight="1" thickTop="1" x14ac:dyDescent="0.3">
      <c r="C677" s="1169"/>
      <c r="E677" s="385"/>
      <c r="F677" s="386"/>
      <c r="G677" s="386"/>
      <c r="H677" s="386"/>
      <c r="I677" s="386"/>
      <c r="J677" s="387"/>
      <c r="K677" s="387"/>
      <c r="L677" s="387"/>
      <c r="M677" s="387"/>
    </row>
    <row r="678" spans="3:13" ht="14.45" customHeight="1" x14ac:dyDescent="0.3">
      <c r="C678" s="1169"/>
      <c r="E678" s="385" t="s">
        <v>1066</v>
      </c>
      <c r="F678" s="385"/>
      <c r="G678" s="388" t="s">
        <v>1067</v>
      </c>
      <c r="H678" s="388"/>
      <c r="J678" s="389"/>
      <c r="K678" s="389"/>
      <c r="L678" s="390"/>
      <c r="M678" s="390"/>
    </row>
    <row r="679" spans="3:13" ht="14.45" customHeight="1" x14ac:dyDescent="0.3">
      <c r="C679" s="1169"/>
      <c r="E679" s="385"/>
      <c r="F679" s="385"/>
      <c r="G679" s="385"/>
      <c r="H679" s="385"/>
      <c r="J679" s="385"/>
      <c r="K679" s="385"/>
      <c r="L679" s="385"/>
      <c r="M679" s="385"/>
    </row>
    <row r="680" spans="3:13" ht="14.45" customHeight="1" x14ac:dyDescent="0.3">
      <c r="C680" s="1169"/>
      <c r="E680" s="1148" t="s">
        <v>936</v>
      </c>
      <c r="F680" s="1148"/>
      <c r="G680" s="1148" t="s">
        <v>260</v>
      </c>
      <c r="H680" s="1148"/>
      <c r="I680" s="1153" t="s">
        <v>17</v>
      </c>
      <c r="J680" s="1153"/>
      <c r="L680" s="1148" t="s">
        <v>91</v>
      </c>
      <c r="M680" s="1148"/>
    </row>
    <row r="681" spans="3:13" ht="14.45" customHeight="1" x14ac:dyDescent="0.3">
      <c r="C681" s="1169"/>
      <c r="E681" s="1149" t="s">
        <v>934</v>
      </c>
      <c r="F681" s="1149"/>
      <c r="G681" s="1149" t="s">
        <v>13</v>
      </c>
      <c r="H681" s="1149"/>
      <c r="I681" s="1154" t="s">
        <v>18</v>
      </c>
      <c r="J681" s="1154"/>
      <c r="L681" s="1149" t="s">
        <v>1021</v>
      </c>
      <c r="M681" s="1149"/>
    </row>
    <row r="682" spans="3:13" ht="14.45" customHeight="1" x14ac:dyDescent="0.3">
      <c r="C682" s="1169"/>
      <c r="E682" s="391" t="s">
        <v>264</v>
      </c>
      <c r="F682" s="391"/>
      <c r="G682" s="391"/>
      <c r="H682" s="385"/>
      <c r="I682" s="385"/>
      <c r="J682" s="385"/>
      <c r="K682" s="392"/>
      <c r="L682" s="385"/>
      <c r="M682" s="385"/>
    </row>
    <row r="683" spans="3:13" ht="14.45" customHeight="1" x14ac:dyDescent="0.3">
      <c r="C683" s="1169"/>
      <c r="E683" s="393"/>
      <c r="F683" s="393"/>
      <c r="G683" s="393"/>
      <c r="H683" s="385"/>
      <c r="I683" s="385"/>
      <c r="J683" s="385"/>
      <c r="K683" s="394"/>
      <c r="L683" s="385"/>
      <c r="M683" s="385"/>
    </row>
    <row r="684" spans="3:13" ht="14.45" customHeight="1" x14ac:dyDescent="0.3">
      <c r="C684" s="1169"/>
      <c r="E684" s="1148" t="s">
        <v>1495</v>
      </c>
      <c r="F684" s="1148"/>
      <c r="G684" s="395"/>
      <c r="H684" s="395"/>
      <c r="I684" s="395"/>
      <c r="J684" s="396"/>
      <c r="K684" s="396"/>
      <c r="L684" s="397"/>
      <c r="M684" s="393"/>
    </row>
    <row r="685" spans="3:13" ht="14.45" customHeight="1" x14ac:dyDescent="0.3">
      <c r="C685" s="1169"/>
      <c r="E685" s="1149" t="s">
        <v>14</v>
      </c>
      <c r="F685" s="1149"/>
      <c r="G685" s="398"/>
      <c r="H685" s="398"/>
      <c r="I685" s="398"/>
      <c r="J685" s="399"/>
      <c r="K685" s="396"/>
      <c r="L685" s="397"/>
      <c r="M685" s="393"/>
    </row>
    <row r="686" spans="3:13" ht="14.45" customHeight="1" x14ac:dyDescent="0.3">
      <c r="E686" s="519"/>
      <c r="F686" s="519"/>
      <c r="G686" s="398"/>
      <c r="H686" s="398"/>
      <c r="I686" s="398"/>
      <c r="J686" s="399"/>
      <c r="K686" s="396"/>
      <c r="L686" s="397"/>
      <c r="M686" s="393"/>
    </row>
    <row r="687" spans="3:13" ht="14.45" customHeight="1" x14ac:dyDescent="0.3">
      <c r="E687" s="519"/>
      <c r="F687" s="519"/>
      <c r="G687" s="398"/>
      <c r="H687" s="398"/>
      <c r="I687" s="398"/>
      <c r="J687" s="399"/>
      <c r="K687" s="396"/>
      <c r="L687" s="397"/>
      <c r="M687" s="393"/>
    </row>
    <row r="688" spans="3:13" ht="14.45" customHeight="1" x14ac:dyDescent="0.3">
      <c r="E688" s="519"/>
      <c r="F688" s="519"/>
      <c r="G688" s="398"/>
      <c r="H688" s="398"/>
      <c r="I688" s="398"/>
      <c r="J688" s="399"/>
      <c r="K688" s="396"/>
      <c r="L688" s="397"/>
      <c r="M688" s="393"/>
    </row>
    <row r="689" spans="5:13" ht="14.45" customHeight="1" x14ac:dyDescent="0.3">
      <c r="E689" s="519"/>
      <c r="F689" s="519"/>
      <c r="G689" s="398"/>
      <c r="H689" s="398"/>
      <c r="I689" s="398"/>
      <c r="J689" s="399"/>
      <c r="K689" s="396"/>
      <c r="L689" s="397"/>
      <c r="M689" s="393"/>
    </row>
    <row r="690" spans="5:13" ht="14.45" customHeight="1" x14ac:dyDescent="0.3">
      <c r="E690" s="519"/>
      <c r="F690" s="519"/>
      <c r="G690" s="398"/>
      <c r="H690" s="398"/>
      <c r="I690" s="398"/>
      <c r="J690" s="399"/>
      <c r="K690" s="396"/>
      <c r="L690" s="397"/>
      <c r="M690" s="393"/>
    </row>
    <row r="691" spans="5:13" ht="14.45" customHeight="1" x14ac:dyDescent="0.3">
      <c r="E691" s="519"/>
      <c r="F691" s="519"/>
      <c r="G691" s="398"/>
      <c r="H691" s="398"/>
      <c r="I691" s="398"/>
      <c r="J691" s="399"/>
      <c r="K691" s="396"/>
      <c r="L691" s="397"/>
      <c r="M691" s="393"/>
    </row>
    <row r="692" spans="5:13" ht="14.45" customHeight="1" x14ac:dyDescent="0.3">
      <c r="E692" s="519"/>
      <c r="F692" s="519"/>
      <c r="G692" s="398"/>
      <c r="H692" s="398"/>
      <c r="I692" s="398"/>
      <c r="J692" s="399"/>
      <c r="K692" s="396"/>
      <c r="L692" s="397"/>
      <c r="M692" s="393"/>
    </row>
    <row r="693" spans="5:13" ht="14.45" customHeight="1" x14ac:dyDescent="0.3">
      <c r="E693" s="519"/>
      <c r="F693" s="519"/>
      <c r="G693" s="398"/>
      <c r="H693" s="398"/>
      <c r="I693" s="398"/>
      <c r="J693" s="399"/>
      <c r="K693" s="396"/>
      <c r="L693" s="397"/>
      <c r="M693" s="393"/>
    </row>
    <row r="694" spans="5:13" ht="14.45" customHeight="1" x14ac:dyDescent="0.3">
      <c r="E694" s="519"/>
      <c r="F694" s="519"/>
      <c r="G694" s="398"/>
      <c r="H694" s="398"/>
      <c r="I694" s="398"/>
      <c r="J694" s="399"/>
      <c r="K694" s="396"/>
      <c r="L694" s="397"/>
      <c r="M694" s="393"/>
    </row>
    <row r="695" spans="5:13" ht="14.45" customHeight="1" x14ac:dyDescent="0.3">
      <c r="E695" s="519"/>
      <c r="F695" s="519"/>
      <c r="G695" s="398"/>
      <c r="H695" s="398"/>
      <c r="I695" s="398"/>
      <c r="J695" s="399"/>
      <c r="K695" s="396"/>
      <c r="L695" s="397"/>
      <c r="M695" s="393"/>
    </row>
    <row r="696" spans="5:13" ht="14.45" customHeight="1" x14ac:dyDescent="0.3">
      <c r="E696" s="519"/>
      <c r="F696" s="519"/>
      <c r="G696" s="398"/>
      <c r="H696" s="398"/>
      <c r="I696" s="398"/>
      <c r="J696" s="399"/>
      <c r="K696" s="396"/>
      <c r="L696" s="397"/>
      <c r="M696" s="393"/>
    </row>
    <row r="697" spans="5:13" ht="14.45" customHeight="1" x14ac:dyDescent="0.3">
      <c r="E697" s="519"/>
      <c r="F697" s="519"/>
      <c r="G697" s="398"/>
      <c r="H697" s="398"/>
      <c r="I697" s="398"/>
      <c r="J697" s="399"/>
      <c r="K697" s="396"/>
      <c r="L697" s="397"/>
      <c r="M697" s="393"/>
    </row>
    <row r="698" spans="5:13" ht="14.45" customHeight="1" x14ac:dyDescent="0.3">
      <c r="E698" s="519"/>
      <c r="F698" s="519"/>
      <c r="G698" s="398"/>
      <c r="H698" s="398"/>
      <c r="I698" s="398"/>
      <c r="J698" s="399"/>
      <c r="K698" s="396"/>
      <c r="L698" s="397"/>
      <c r="M698" s="393"/>
    </row>
    <row r="699" spans="5:13" ht="14.45" customHeight="1" x14ac:dyDescent="0.3">
      <c r="E699" s="519"/>
      <c r="F699" s="519"/>
      <c r="G699" s="398"/>
      <c r="H699" s="398"/>
      <c r="I699" s="398"/>
      <c r="J699" s="399"/>
      <c r="K699" s="396"/>
      <c r="L699" s="397"/>
      <c r="M699" s="393"/>
    </row>
    <row r="700" spans="5:13" ht="14.45" customHeight="1" x14ac:dyDescent="0.3">
      <c r="E700" s="519"/>
      <c r="F700" s="519"/>
      <c r="G700" s="398"/>
      <c r="H700" s="398"/>
      <c r="I700" s="398"/>
      <c r="J700" s="399"/>
      <c r="K700" s="396"/>
      <c r="L700" s="397"/>
      <c r="M700" s="393"/>
    </row>
    <row r="701" spans="5:13" ht="14.45" customHeight="1" x14ac:dyDescent="0.3">
      <c r="E701" s="519"/>
      <c r="F701" s="519"/>
      <c r="G701" s="398"/>
      <c r="H701" s="398"/>
      <c r="I701" s="398"/>
      <c r="J701" s="399"/>
      <c r="K701" s="396"/>
      <c r="L701" s="397"/>
      <c r="M701" s="393"/>
    </row>
    <row r="702" spans="5:13" ht="14.45" customHeight="1" x14ac:dyDescent="0.3">
      <c r="E702" s="519"/>
      <c r="F702" s="519"/>
      <c r="G702" s="398"/>
      <c r="H702" s="398"/>
      <c r="I702" s="398"/>
      <c r="J702" s="399"/>
      <c r="K702" s="396"/>
      <c r="L702" s="397"/>
      <c r="M702" s="393"/>
    </row>
    <row r="703" spans="5:13" ht="14.45" customHeight="1" x14ac:dyDescent="0.3">
      <c r="E703" s="519"/>
      <c r="F703" s="519"/>
      <c r="G703" s="398"/>
      <c r="H703" s="398"/>
      <c r="I703" s="398"/>
      <c r="J703" s="399"/>
      <c r="K703" s="396"/>
      <c r="L703" s="397"/>
      <c r="M703" s="393"/>
    </row>
    <row r="704" spans="5:13" ht="14.45" customHeight="1" x14ac:dyDescent="0.3">
      <c r="E704" s="519"/>
      <c r="F704" s="519"/>
      <c r="G704" s="398"/>
      <c r="H704" s="398"/>
      <c r="I704" s="398"/>
      <c r="J704" s="399"/>
      <c r="K704" s="396"/>
      <c r="L704" s="397"/>
      <c r="M704" s="393"/>
    </row>
    <row r="705" spans="3:13" ht="14.45" customHeight="1" x14ac:dyDescent="0.3">
      <c r="E705" s="519"/>
      <c r="F705" s="519"/>
      <c r="G705" s="398"/>
      <c r="H705" s="398"/>
      <c r="I705" s="398"/>
      <c r="J705" s="399"/>
      <c r="K705" s="396"/>
      <c r="L705" s="397"/>
      <c r="M705" s="393"/>
    </row>
    <row r="706" spans="3:13" ht="14.45" customHeight="1" x14ac:dyDescent="0.3">
      <c r="E706" s="519"/>
      <c r="F706" s="519"/>
      <c r="G706" s="398"/>
      <c r="H706" s="398"/>
      <c r="I706" s="398"/>
      <c r="J706" s="399"/>
      <c r="K706" s="396"/>
      <c r="L706" s="397"/>
      <c r="M706" s="393"/>
    </row>
    <row r="707" spans="3:13" ht="14.45" customHeight="1" x14ac:dyDescent="0.3">
      <c r="E707" s="519"/>
      <c r="F707" s="519"/>
      <c r="G707" s="398"/>
      <c r="H707" s="398"/>
      <c r="I707" s="398"/>
      <c r="J707" s="399"/>
      <c r="K707" s="396"/>
      <c r="L707" s="397"/>
      <c r="M707" s="393"/>
    </row>
    <row r="708" spans="3:13" ht="14.45" customHeight="1" x14ac:dyDescent="0.3">
      <c r="E708" s="519"/>
      <c r="F708" s="519"/>
      <c r="G708" s="398"/>
      <c r="H708" s="398"/>
      <c r="I708" s="398"/>
      <c r="J708" s="399"/>
      <c r="K708" s="396"/>
      <c r="L708" s="397"/>
      <c r="M708" s="393"/>
    </row>
    <row r="709" spans="3:13" ht="15.95" customHeight="1" x14ac:dyDescent="0.3"/>
    <row r="710" spans="3:13" ht="14.45" customHeight="1" x14ac:dyDescent="0.3">
      <c r="C710" s="926" t="s">
        <v>1458</v>
      </c>
      <c r="D710" s="385"/>
      <c r="F710" s="1155" t="s">
        <v>1601</v>
      </c>
      <c r="G710" s="1155"/>
      <c r="H710" s="1155"/>
      <c r="I710" s="1155"/>
      <c r="J710" s="1155"/>
      <c r="K710" s="1155"/>
      <c r="L710" s="1155"/>
      <c r="M710" s="360"/>
    </row>
    <row r="711" spans="3:13" ht="14.45" customHeight="1" x14ac:dyDescent="0.3">
      <c r="C711" s="926"/>
      <c r="E711" s="1156" t="s">
        <v>182</v>
      </c>
      <c r="F711" s="1156"/>
      <c r="G711" s="1156"/>
      <c r="H711" s="1156"/>
      <c r="I711" s="1156"/>
      <c r="J711" s="1156"/>
      <c r="K711" s="1156"/>
      <c r="L711" s="1156"/>
      <c r="M711" s="1156"/>
    </row>
    <row r="712" spans="3:13" ht="14.45" customHeight="1" x14ac:dyDescent="0.3">
      <c r="C712" s="926"/>
      <c r="E712" s="610" t="s">
        <v>1027</v>
      </c>
      <c r="F712" s="362" t="s">
        <v>1459</v>
      </c>
    </row>
    <row r="713" spans="3:13" ht="14.45" customHeight="1" x14ac:dyDescent="0.3">
      <c r="C713" s="926"/>
      <c r="E713" s="610" t="s">
        <v>1029</v>
      </c>
      <c r="F713" s="363" t="s">
        <v>1460</v>
      </c>
    </row>
    <row r="714" spans="3:13" ht="14.45" customHeight="1" x14ac:dyDescent="0.3">
      <c r="C714" s="926"/>
      <c r="E714" s="610" t="s">
        <v>1031</v>
      </c>
      <c r="F714" s="1157" t="s">
        <v>1461</v>
      </c>
      <c r="G714" s="1157"/>
      <c r="H714" s="1157"/>
      <c r="I714" s="1157"/>
      <c r="J714" s="1157"/>
      <c r="K714" s="1157"/>
      <c r="L714" s="1157"/>
      <c r="M714" s="1157"/>
    </row>
    <row r="715" spans="3:13" ht="20.25" customHeight="1" x14ac:dyDescent="0.3">
      <c r="C715" s="926"/>
      <c r="F715" s="1157"/>
      <c r="G715" s="1157"/>
      <c r="H715" s="1157"/>
      <c r="I715" s="1157"/>
      <c r="J715" s="1157"/>
      <c r="K715" s="1157"/>
      <c r="L715" s="1157"/>
      <c r="M715" s="1157"/>
    </row>
    <row r="716" spans="3:13" ht="35.25" customHeight="1" x14ac:dyDescent="0.3">
      <c r="C716" s="926"/>
      <c r="E716" s="610" t="s">
        <v>1033</v>
      </c>
      <c r="F716" s="1147" t="s">
        <v>1462</v>
      </c>
      <c r="G716" s="1147"/>
      <c r="H716" s="1147"/>
      <c r="I716" s="1147"/>
      <c r="J716" s="1147"/>
      <c r="K716" s="1147"/>
      <c r="L716" s="1147"/>
      <c r="M716" s="1147"/>
    </row>
    <row r="717" spans="3:13" ht="14.45" customHeight="1" x14ac:dyDescent="0.3">
      <c r="C717" s="926"/>
      <c r="E717" s="610" t="s">
        <v>1463</v>
      </c>
      <c r="F717" s="366"/>
      <c r="G717" s="366"/>
      <c r="H717" s="366"/>
      <c r="I717" s="366"/>
      <c r="J717" s="366"/>
      <c r="K717" s="366"/>
      <c r="L717" s="366"/>
      <c r="M717" s="366"/>
    </row>
    <row r="718" spans="3:13" ht="14.45" customHeight="1" x14ac:dyDescent="0.3">
      <c r="C718" s="926"/>
      <c r="E718" s="1158" t="s">
        <v>1036</v>
      </c>
      <c r="F718" s="367" t="s">
        <v>648</v>
      </c>
      <c r="G718" s="1160" t="s">
        <v>650</v>
      </c>
      <c r="H718" s="367" t="s">
        <v>651</v>
      </c>
      <c r="I718" s="1158" t="s">
        <v>1037</v>
      </c>
      <c r="J718" s="1162" t="s">
        <v>1602</v>
      </c>
      <c r="K718" s="1162"/>
      <c r="L718" s="1162"/>
      <c r="M718" s="1163"/>
    </row>
    <row r="719" spans="3:13" ht="14.45" customHeight="1" x14ac:dyDescent="0.3">
      <c r="C719" s="926"/>
      <c r="E719" s="1159"/>
      <c r="F719" s="486" t="s">
        <v>649</v>
      </c>
      <c r="G719" s="1161"/>
      <c r="H719" s="486" t="s">
        <v>652</v>
      </c>
      <c r="I719" s="1159"/>
      <c r="J719" s="369" t="s">
        <v>283</v>
      </c>
      <c r="K719" s="370" t="s">
        <v>284</v>
      </c>
      <c r="L719" s="371" t="s">
        <v>285</v>
      </c>
      <c r="M719" s="372" t="s">
        <v>15</v>
      </c>
    </row>
    <row r="720" spans="3:13" ht="33.75" customHeight="1" x14ac:dyDescent="0.3">
      <c r="C720" s="926"/>
      <c r="E720" s="373" t="s">
        <v>1464</v>
      </c>
      <c r="F720" s="611" t="s">
        <v>1465</v>
      </c>
      <c r="G720" s="611" t="s">
        <v>1466</v>
      </c>
      <c r="H720" s="612" t="s">
        <v>1467</v>
      </c>
      <c r="I720" s="612" t="s">
        <v>1468</v>
      </c>
      <c r="J720" s="1164">
        <f>'[1]LBP NO. 2'!M992</f>
        <v>8148939</v>
      </c>
      <c r="K720" s="1164">
        <f>'[1]LBP NO. 2'!M1004</f>
        <v>3800118</v>
      </c>
      <c r="L720" s="1164">
        <f>'[1]LBP NO. 2'!M1011</f>
        <v>140000</v>
      </c>
      <c r="M720" s="1164">
        <f>SUM(J720:L741)</f>
        <v>12089057</v>
      </c>
    </row>
    <row r="721" spans="3:13" ht="14.45" customHeight="1" x14ac:dyDescent="0.3">
      <c r="C721" s="926"/>
      <c r="E721" s="374"/>
      <c r="F721" s="405"/>
      <c r="G721" s="405"/>
      <c r="H721" s="613"/>
      <c r="I721" s="405"/>
      <c r="J721" s="1165"/>
      <c r="K721" s="1165"/>
      <c r="L721" s="1165"/>
      <c r="M721" s="1165"/>
    </row>
    <row r="722" spans="3:13" ht="27" customHeight="1" x14ac:dyDescent="0.3">
      <c r="C722" s="926"/>
      <c r="E722" s="374" t="s">
        <v>1464</v>
      </c>
      <c r="F722" s="614" t="s">
        <v>1469</v>
      </c>
      <c r="G722" s="614" t="s">
        <v>1300</v>
      </c>
      <c r="H722" s="382" t="s">
        <v>1467</v>
      </c>
      <c r="I722" s="382" t="s">
        <v>1468</v>
      </c>
      <c r="J722" s="1165"/>
      <c r="K722" s="1165"/>
      <c r="L722" s="1165"/>
      <c r="M722" s="1165"/>
    </row>
    <row r="723" spans="3:13" ht="14.45" customHeight="1" x14ac:dyDescent="0.3">
      <c r="C723" s="926"/>
      <c r="E723" s="374"/>
      <c r="F723" s="405"/>
      <c r="G723" s="405"/>
      <c r="H723" s="405"/>
      <c r="I723" s="405"/>
      <c r="J723" s="1165"/>
      <c r="K723" s="1165"/>
      <c r="L723" s="1165"/>
      <c r="M723" s="1165"/>
    </row>
    <row r="724" spans="3:13" ht="14.45" customHeight="1" x14ac:dyDescent="0.3">
      <c r="C724" s="926"/>
      <c r="E724" s="374" t="s">
        <v>1464</v>
      </c>
      <c r="F724" s="1167" t="s">
        <v>1470</v>
      </c>
      <c r="G724" s="615" t="s">
        <v>1300</v>
      </c>
      <c r="H724" s="382" t="s">
        <v>1467</v>
      </c>
      <c r="I724" s="382" t="s">
        <v>1471</v>
      </c>
      <c r="J724" s="1165"/>
      <c r="K724" s="1165"/>
      <c r="L724" s="1165"/>
      <c r="M724" s="1165"/>
    </row>
    <row r="725" spans="3:13" ht="27" customHeight="1" x14ac:dyDescent="0.3">
      <c r="C725" s="926"/>
      <c r="E725" s="374"/>
      <c r="F725" s="1167"/>
      <c r="G725" s="615"/>
      <c r="H725" s="615"/>
      <c r="I725" s="615"/>
      <c r="J725" s="1165"/>
      <c r="K725" s="1165"/>
      <c r="L725" s="1165"/>
      <c r="M725" s="1165"/>
    </row>
    <row r="726" spans="3:13" ht="14.45" customHeight="1" x14ac:dyDescent="0.3">
      <c r="C726" s="926"/>
      <c r="E726" s="374"/>
      <c r="F726" s="405"/>
      <c r="G726" s="613"/>
      <c r="H726" s="613"/>
      <c r="I726" s="405"/>
      <c r="J726" s="1165"/>
      <c r="K726" s="1165"/>
      <c r="L726" s="1165"/>
      <c r="M726" s="1165"/>
    </row>
    <row r="727" spans="3:13" ht="14.45" customHeight="1" x14ac:dyDescent="0.3">
      <c r="C727" s="926"/>
      <c r="E727" s="374" t="s">
        <v>1464</v>
      </c>
      <c r="F727" s="1168" t="s">
        <v>1472</v>
      </c>
      <c r="G727" s="613" t="s">
        <v>1300</v>
      </c>
      <c r="H727" s="382" t="s">
        <v>1467</v>
      </c>
      <c r="I727" s="382" t="s">
        <v>1471</v>
      </c>
      <c r="J727" s="1165"/>
      <c r="K727" s="1165"/>
      <c r="L727" s="1165"/>
      <c r="M727" s="1165"/>
    </row>
    <row r="728" spans="3:13" ht="14.45" customHeight="1" x14ac:dyDescent="0.3">
      <c r="C728" s="926"/>
      <c r="E728" s="374"/>
      <c r="F728" s="1168"/>
      <c r="G728" s="613"/>
      <c r="H728" s="613"/>
      <c r="I728" s="405"/>
      <c r="J728" s="1165"/>
      <c r="K728" s="1165"/>
      <c r="L728" s="1165"/>
      <c r="M728" s="1165"/>
    </row>
    <row r="729" spans="3:13" ht="14.45" customHeight="1" x14ac:dyDescent="0.3">
      <c r="C729" s="926"/>
      <c r="E729" s="374" t="s">
        <v>1464</v>
      </c>
      <c r="F729" s="1168" t="s">
        <v>1473</v>
      </c>
      <c r="G729" s="613" t="s">
        <v>1300</v>
      </c>
      <c r="H729" s="382" t="s">
        <v>1467</v>
      </c>
      <c r="I729" s="382" t="s">
        <v>1471</v>
      </c>
      <c r="J729" s="1165"/>
      <c r="K729" s="1165"/>
      <c r="L729" s="1165"/>
      <c r="M729" s="1165"/>
    </row>
    <row r="730" spans="3:13" ht="14.45" customHeight="1" x14ac:dyDescent="0.3">
      <c r="C730" s="926"/>
      <c r="E730" s="374"/>
      <c r="F730" s="1168"/>
      <c r="G730" s="613"/>
      <c r="H730" s="613"/>
      <c r="I730" s="405"/>
      <c r="J730" s="1165"/>
      <c r="K730" s="1165"/>
      <c r="L730" s="1165"/>
      <c r="M730" s="1165"/>
    </row>
    <row r="731" spans="3:13" ht="14.45" customHeight="1" x14ac:dyDescent="0.3">
      <c r="C731" s="926"/>
      <c r="E731" s="374" t="s">
        <v>1464</v>
      </c>
      <c r="F731" s="1168" t="s">
        <v>1474</v>
      </c>
      <c r="G731" s="613" t="s">
        <v>1300</v>
      </c>
      <c r="H731" s="382" t="s">
        <v>1467</v>
      </c>
      <c r="I731" s="382" t="s">
        <v>1471</v>
      </c>
      <c r="J731" s="1165"/>
      <c r="K731" s="1165"/>
      <c r="L731" s="1165"/>
      <c r="M731" s="1165"/>
    </row>
    <row r="732" spans="3:13" ht="21.75" customHeight="1" x14ac:dyDescent="0.3">
      <c r="C732" s="926"/>
      <c r="E732" s="374"/>
      <c r="F732" s="1168"/>
      <c r="G732" s="613"/>
      <c r="H732" s="613"/>
      <c r="I732" s="405"/>
      <c r="J732" s="1165"/>
      <c r="K732" s="1165"/>
      <c r="L732" s="1165"/>
      <c r="M732" s="1165"/>
    </row>
    <row r="733" spans="3:13" ht="14.45" customHeight="1" x14ac:dyDescent="0.3">
      <c r="C733" s="926"/>
      <c r="E733" s="374"/>
      <c r="F733" s="382"/>
      <c r="G733" s="613"/>
      <c r="H733" s="613"/>
      <c r="I733" s="604"/>
      <c r="J733" s="1165"/>
      <c r="K733" s="1165"/>
      <c r="L733" s="1165"/>
      <c r="M733" s="1165"/>
    </row>
    <row r="734" spans="3:13" ht="45" customHeight="1" x14ac:dyDescent="0.3">
      <c r="C734" s="926"/>
      <c r="E734" s="509" t="s">
        <v>1464</v>
      </c>
      <c r="F734" s="382" t="s">
        <v>1475</v>
      </c>
      <c r="G734" s="382" t="s">
        <v>1300</v>
      </c>
      <c r="H734" s="382" t="s">
        <v>1476</v>
      </c>
      <c r="I734" s="382" t="s">
        <v>1477</v>
      </c>
      <c r="J734" s="1165"/>
      <c r="K734" s="1165"/>
      <c r="L734" s="1165"/>
      <c r="M734" s="1165"/>
    </row>
    <row r="735" spans="3:13" ht="14.45" customHeight="1" x14ac:dyDescent="0.3">
      <c r="C735" s="926"/>
      <c r="E735" s="374"/>
      <c r="F735" s="382"/>
      <c r="G735" s="613"/>
      <c r="H735" s="613"/>
      <c r="I735" s="604"/>
      <c r="J735" s="1165"/>
      <c r="K735" s="1165"/>
      <c r="L735" s="1165"/>
      <c r="M735" s="1165"/>
    </row>
    <row r="736" spans="3:13" ht="39.75" customHeight="1" x14ac:dyDescent="0.3">
      <c r="C736" s="926"/>
      <c r="E736" s="509" t="s">
        <v>1464</v>
      </c>
      <c r="F736" s="405" t="s">
        <v>1478</v>
      </c>
      <c r="G736" s="405" t="s">
        <v>1300</v>
      </c>
      <c r="H736" s="405" t="s">
        <v>1476</v>
      </c>
      <c r="I736" s="405" t="s">
        <v>1477</v>
      </c>
      <c r="J736" s="1165"/>
      <c r="K736" s="1165"/>
      <c r="L736" s="1165"/>
      <c r="M736" s="1165"/>
    </row>
    <row r="737" spans="1:17" ht="14.45" customHeight="1" x14ac:dyDescent="0.3">
      <c r="C737" s="926"/>
      <c r="E737" s="374"/>
      <c r="F737" s="382"/>
      <c r="G737" s="613"/>
      <c r="H737" s="613"/>
      <c r="I737" s="604"/>
      <c r="J737" s="1165"/>
      <c r="K737" s="1165"/>
      <c r="L737" s="1165"/>
      <c r="M737" s="1165"/>
    </row>
    <row r="738" spans="1:17" ht="38.25" customHeight="1" x14ac:dyDescent="0.3">
      <c r="C738" s="926"/>
      <c r="E738" s="509" t="s">
        <v>1464</v>
      </c>
      <c r="F738" s="405" t="s">
        <v>1479</v>
      </c>
      <c r="G738" s="405" t="s">
        <v>1300</v>
      </c>
      <c r="H738" s="405" t="s">
        <v>1467</v>
      </c>
      <c r="I738" s="405" t="s">
        <v>1480</v>
      </c>
      <c r="J738" s="1165"/>
      <c r="K738" s="1165"/>
      <c r="L738" s="1165"/>
      <c r="M738" s="1165"/>
    </row>
    <row r="739" spans="1:17" ht="14.45" customHeight="1" x14ac:dyDescent="0.3">
      <c r="C739" s="926"/>
      <c r="E739" s="374"/>
      <c r="F739" s="382"/>
      <c r="G739" s="613"/>
      <c r="H739" s="613"/>
      <c r="I739" s="405"/>
      <c r="J739" s="1165"/>
      <c r="K739" s="1165"/>
      <c r="L739" s="1165"/>
      <c r="M739" s="1165"/>
      <c r="Q739" s="616"/>
    </row>
    <row r="740" spans="1:17" ht="38.25" customHeight="1" x14ac:dyDescent="0.3">
      <c r="C740" s="926"/>
      <c r="E740" s="374" t="s">
        <v>1464</v>
      </c>
      <c r="F740" s="1150" t="s">
        <v>1481</v>
      </c>
      <c r="G740" s="405" t="s">
        <v>1300</v>
      </c>
      <c r="H740" s="405" t="s">
        <v>1482</v>
      </c>
      <c r="I740" s="1150" t="s">
        <v>1483</v>
      </c>
      <c r="J740" s="1165"/>
      <c r="K740" s="1165"/>
      <c r="L740" s="1165"/>
      <c r="M740" s="1165"/>
    </row>
    <row r="741" spans="1:17" ht="17.25" customHeight="1" x14ac:dyDescent="0.3">
      <c r="C741" s="926"/>
      <c r="E741" s="375"/>
      <c r="F741" s="1151"/>
      <c r="G741" s="383"/>
      <c r="H741" s="383"/>
      <c r="I741" s="1151"/>
      <c r="J741" s="1166"/>
      <c r="K741" s="1166"/>
      <c r="L741" s="1166"/>
      <c r="M741" s="1166"/>
    </row>
    <row r="742" spans="1:17" ht="20.100000000000001" customHeight="1" thickBot="1" x14ac:dyDescent="0.35">
      <c r="C742" s="926"/>
      <c r="E742" s="513"/>
      <c r="F742" s="600"/>
      <c r="G742" s="617"/>
      <c r="H742" s="617"/>
      <c r="I742" s="602"/>
      <c r="J742" s="518">
        <f>SUM(J720:J741)</f>
        <v>8148939</v>
      </c>
      <c r="K742" s="518">
        <f t="shared" ref="K742:M742" si="0">SUM(K720:K741)</f>
        <v>3800118</v>
      </c>
      <c r="L742" s="518">
        <f t="shared" si="0"/>
        <v>140000</v>
      </c>
      <c r="M742" s="518">
        <f t="shared" si="0"/>
        <v>12089057</v>
      </c>
    </row>
    <row r="743" spans="1:17" ht="15.95" customHeight="1" thickTop="1" x14ac:dyDescent="0.3">
      <c r="E743" s="385"/>
      <c r="F743" s="386"/>
      <c r="G743" s="386"/>
      <c r="H743" s="386"/>
      <c r="I743" s="386"/>
      <c r="J743" s="387"/>
      <c r="K743" s="387"/>
      <c r="L743" s="387"/>
      <c r="M743" s="387"/>
    </row>
    <row r="744" spans="1:17" ht="15.95" customHeight="1" x14ac:dyDescent="0.3">
      <c r="E744" s="385"/>
      <c r="F744" s="386"/>
      <c r="G744" s="386"/>
      <c r="H744" s="386"/>
      <c r="I744" s="386"/>
      <c r="J744" s="387"/>
      <c r="K744" s="387"/>
      <c r="L744" s="387"/>
      <c r="M744" s="387"/>
    </row>
    <row r="745" spans="1:17" ht="15.95" customHeight="1" x14ac:dyDescent="0.3">
      <c r="E745" s="385"/>
      <c r="F745" s="386"/>
      <c r="G745" s="386"/>
      <c r="H745" s="386"/>
      <c r="I745" s="386"/>
      <c r="J745" s="387"/>
      <c r="K745" s="387"/>
      <c r="L745" s="387"/>
      <c r="M745" s="387"/>
    </row>
    <row r="746" spans="1:17" ht="14.45" customHeight="1" x14ac:dyDescent="0.3">
      <c r="C746" s="1152" t="s">
        <v>1484</v>
      </c>
      <c r="E746" s="385" t="s">
        <v>1066</v>
      </c>
      <c r="F746" s="385"/>
      <c r="G746" s="388" t="s">
        <v>1067</v>
      </c>
      <c r="H746" s="388"/>
      <c r="J746" s="389"/>
      <c r="K746" s="389"/>
      <c r="L746" s="390"/>
      <c r="M746" s="390"/>
    </row>
    <row r="747" spans="1:17" ht="14.45" customHeight="1" x14ac:dyDescent="0.3">
      <c r="A747" s="618"/>
      <c r="C747" s="1152"/>
      <c r="E747" s="385"/>
      <c r="F747" s="385"/>
      <c r="G747" s="385"/>
      <c r="H747" s="385"/>
      <c r="J747" s="385"/>
      <c r="K747" s="385"/>
      <c r="L747" s="385"/>
      <c r="M747" s="385"/>
    </row>
    <row r="748" spans="1:17" ht="14.45" customHeight="1" x14ac:dyDescent="0.3">
      <c r="C748" s="1152"/>
      <c r="E748" s="1148" t="s">
        <v>164</v>
      </c>
      <c r="F748" s="1148"/>
      <c r="G748" s="1148" t="s">
        <v>260</v>
      </c>
      <c r="H748" s="1148"/>
      <c r="I748" s="1153" t="s">
        <v>17</v>
      </c>
      <c r="J748" s="1153"/>
      <c r="L748" s="1148" t="s">
        <v>91</v>
      </c>
      <c r="M748" s="1148"/>
    </row>
    <row r="749" spans="1:17" ht="14.45" customHeight="1" x14ac:dyDescent="0.3">
      <c r="C749" s="1152"/>
      <c r="E749" s="1149" t="s">
        <v>163</v>
      </c>
      <c r="F749" s="1149"/>
      <c r="G749" s="1149" t="s">
        <v>13</v>
      </c>
      <c r="H749" s="1149"/>
      <c r="I749" s="1154" t="s">
        <v>18</v>
      </c>
      <c r="J749" s="1154"/>
      <c r="L749" s="1149" t="s">
        <v>1021</v>
      </c>
      <c r="M749" s="1149"/>
    </row>
    <row r="750" spans="1:17" ht="14.45" customHeight="1" x14ac:dyDescent="0.3">
      <c r="C750" s="1152"/>
      <c r="E750" s="391" t="s">
        <v>264</v>
      </c>
      <c r="F750" s="391"/>
      <c r="G750" s="391"/>
      <c r="H750" s="385"/>
      <c r="I750" s="385"/>
      <c r="J750" s="385"/>
      <c r="K750" s="392"/>
      <c r="L750" s="385"/>
      <c r="M750" s="385"/>
    </row>
    <row r="751" spans="1:17" ht="14.45" customHeight="1" x14ac:dyDescent="0.3">
      <c r="C751" s="1152"/>
      <c r="E751" s="393"/>
      <c r="F751" s="393"/>
      <c r="G751" s="393"/>
      <c r="H751" s="385"/>
      <c r="I751" s="385"/>
      <c r="J751" s="385"/>
      <c r="K751" s="394"/>
      <c r="L751" s="385"/>
      <c r="M751" s="385"/>
    </row>
    <row r="752" spans="1:17" ht="14.45" customHeight="1" x14ac:dyDescent="0.3">
      <c r="C752" s="1152"/>
      <c r="E752" s="1148" t="s">
        <v>1495</v>
      </c>
      <c r="F752" s="1148"/>
      <c r="G752" s="395"/>
      <c r="H752" s="395"/>
      <c r="I752" s="395"/>
      <c r="J752" s="396"/>
      <c r="K752" s="396"/>
      <c r="L752" s="397"/>
      <c r="M752" s="393"/>
    </row>
    <row r="753" spans="3:16" ht="14.45" customHeight="1" x14ac:dyDescent="0.3">
      <c r="C753" s="1152"/>
      <c r="E753" s="1149" t="s">
        <v>14</v>
      </c>
      <c r="F753" s="1149"/>
      <c r="G753" s="398"/>
      <c r="H753" s="398"/>
      <c r="I753" s="398"/>
      <c r="J753" s="399"/>
      <c r="K753" s="396"/>
      <c r="L753" s="397"/>
      <c r="M753" s="393"/>
    </row>
    <row r="754" spans="3:16" ht="14.45" customHeight="1" x14ac:dyDescent="0.3">
      <c r="C754" s="1152"/>
    </row>
    <row r="755" spans="3:16" ht="14.45" customHeight="1" x14ac:dyDescent="0.3">
      <c r="C755" s="1152"/>
    </row>
    <row r="756" spans="3:16" ht="14.45" customHeight="1" x14ac:dyDescent="0.3">
      <c r="C756" s="1152"/>
    </row>
    <row r="757" spans="3:16" ht="14.45" customHeight="1" x14ac:dyDescent="0.3">
      <c r="C757" s="1152"/>
    </row>
    <row r="758" spans="3:16" ht="14.45" customHeight="1" x14ac:dyDescent="0.3">
      <c r="C758" s="1152"/>
    </row>
    <row r="759" spans="3:16" ht="14.45" customHeight="1" x14ac:dyDescent="0.3">
      <c r="C759" s="1152"/>
    </row>
    <row r="760" spans="3:16" ht="14.45" customHeight="1" x14ac:dyDescent="0.3">
      <c r="C760" s="1152"/>
      <c r="M760" s="358" t="s">
        <v>1665</v>
      </c>
      <c r="O760" s="620">
        <f>SUM(M742+M676+M589+M497+M415+M345+M302+M261+M216+M185+M125+M103+M50+M11)</f>
        <v>101861448</v>
      </c>
    </row>
    <row r="761" spans="3:16" ht="14.45" customHeight="1" x14ac:dyDescent="0.3">
      <c r="C761" s="1152"/>
      <c r="M761" s="358" t="s">
        <v>1564</v>
      </c>
      <c r="O761" s="621">
        <f>'LBP NO. 2a'!K41+'LBP NO. 2a'!K165</f>
        <v>84044050</v>
      </c>
    </row>
    <row r="762" spans="3:16" ht="14.45" customHeight="1" x14ac:dyDescent="0.3">
      <c r="C762" s="1152"/>
      <c r="O762" s="620">
        <f>O761+O760</f>
        <v>185905498</v>
      </c>
    </row>
    <row r="763" spans="3:16" ht="14.45" customHeight="1" x14ac:dyDescent="0.3">
      <c r="M763" s="358" t="s">
        <v>1485</v>
      </c>
      <c r="O763" s="622">
        <f>'[1]LBP NO. 2'!M1013</f>
        <v>0</v>
      </c>
    </row>
    <row r="764" spans="3:16" ht="14.45" customHeight="1" thickBot="1" x14ac:dyDescent="0.35">
      <c r="O764" s="623">
        <f>O763+O762</f>
        <v>185905498</v>
      </c>
      <c r="P764" s="616"/>
    </row>
    <row r="765" spans="3:16" ht="14.45" customHeight="1" thickTop="1" x14ac:dyDescent="0.3"/>
    <row r="766" spans="3:16" ht="14.45" customHeight="1" x14ac:dyDescent="0.3">
      <c r="O766" s="616">
        <f>O764-'LBP NO. 2a'!K206</f>
        <v>0</v>
      </c>
    </row>
    <row r="794" ht="15.95" customHeight="1" x14ac:dyDescent="0.3"/>
  </sheetData>
  <mergeCells count="536">
    <mergeCell ref="L35:M35"/>
    <mergeCell ref="M11:M30"/>
    <mergeCell ref="H650:H652"/>
    <mergeCell ref="I650:I652"/>
    <mergeCell ref="G650:G652"/>
    <mergeCell ref="I644:I645"/>
    <mergeCell ref="G11:G14"/>
    <mergeCell ref="H11:H14"/>
    <mergeCell ref="I11:I14"/>
    <mergeCell ref="J11:J30"/>
    <mergeCell ref="K11:K30"/>
    <mergeCell ref="I50:I53"/>
    <mergeCell ref="J50:J63"/>
    <mergeCell ref="K50:K63"/>
    <mergeCell ref="G99:G101"/>
    <mergeCell ref="H99:H101"/>
    <mergeCell ref="I99:I101"/>
    <mergeCell ref="I92:I93"/>
    <mergeCell ref="E150:M150"/>
    <mergeCell ref="E286:F286"/>
    <mergeCell ref="I343:I344"/>
    <mergeCell ref="L11:L30"/>
    <mergeCell ref="F15:F18"/>
    <mergeCell ref="G15:G18"/>
    <mergeCell ref="E72:F72"/>
    <mergeCell ref="G107:H107"/>
    <mergeCell ref="I107:J107"/>
    <mergeCell ref="E141:F141"/>
    <mergeCell ref="G141:H141"/>
    <mergeCell ref="I141:J141"/>
    <mergeCell ref="E282:F282"/>
    <mergeCell ref="G282:H282"/>
    <mergeCell ref="I282:J282"/>
    <mergeCell ref="E108:F108"/>
    <mergeCell ref="G108:H108"/>
    <mergeCell ref="I108:J108"/>
    <mergeCell ref="J102:M102"/>
    <mergeCell ref="F163:F164"/>
    <mergeCell ref="G163:G164"/>
    <mergeCell ref="H163:H164"/>
    <mergeCell ref="G158:G160"/>
    <mergeCell ref="H158:H160"/>
    <mergeCell ref="J158:J184"/>
    <mergeCell ref="F158:F160"/>
    <mergeCell ref="E111:F111"/>
    <mergeCell ref="E112:F112"/>
    <mergeCell ref="L108:M108"/>
    <mergeCell ref="F149:L149"/>
    <mergeCell ref="H15:H18"/>
    <mergeCell ref="I15:I18"/>
    <mergeCell ref="F19:F21"/>
    <mergeCell ref="G19:G21"/>
    <mergeCell ref="H19:H21"/>
    <mergeCell ref="I19:I21"/>
    <mergeCell ref="F11:F14"/>
    <mergeCell ref="F22:F24"/>
    <mergeCell ref="G22:G24"/>
    <mergeCell ref="H22:H24"/>
    <mergeCell ref="I22:I24"/>
    <mergeCell ref="L34:M34"/>
    <mergeCell ref="E35:F35"/>
    <mergeCell ref="E39:F39"/>
    <mergeCell ref="I60:I63"/>
    <mergeCell ref="E67:F67"/>
    <mergeCell ref="G67:H67"/>
    <mergeCell ref="I67:J67"/>
    <mergeCell ref="L107:M107"/>
    <mergeCell ref="A40:A84"/>
    <mergeCell ref="C40:C72"/>
    <mergeCell ref="F40:L40"/>
    <mergeCell ref="E41:M41"/>
    <mergeCell ref="F44:M44"/>
    <mergeCell ref="F45:M46"/>
    <mergeCell ref="E48:E49"/>
    <mergeCell ref="G48:G49"/>
    <mergeCell ref="I48:I49"/>
    <mergeCell ref="J48:M48"/>
    <mergeCell ref="F50:F53"/>
    <mergeCell ref="L50:L63"/>
    <mergeCell ref="M50:M63"/>
    <mergeCell ref="G54:G56"/>
    <mergeCell ref="L67:M67"/>
    <mergeCell ref="E68:F68"/>
    <mergeCell ref="G68:H68"/>
    <mergeCell ref="I68:J68"/>
    <mergeCell ref="L68:M68"/>
    <mergeCell ref="E71:F71"/>
    <mergeCell ref="I54:I56"/>
    <mergeCell ref="F60:F63"/>
    <mergeCell ref="G60:G63"/>
    <mergeCell ref="H60:H63"/>
    <mergeCell ref="A1:A39"/>
    <mergeCell ref="C1:C39"/>
    <mergeCell ref="F1:L1"/>
    <mergeCell ref="E2:M2"/>
    <mergeCell ref="F5:M5"/>
    <mergeCell ref="F6:M7"/>
    <mergeCell ref="E9:E10"/>
    <mergeCell ref="G9:G10"/>
    <mergeCell ref="I9:I10"/>
    <mergeCell ref="J9:M9"/>
    <mergeCell ref="E38:F38"/>
    <mergeCell ref="F27:F30"/>
    <mergeCell ref="G27:G30"/>
    <mergeCell ref="H27:H30"/>
    <mergeCell ref="I27:I30"/>
    <mergeCell ref="E34:F34"/>
    <mergeCell ref="G34:H34"/>
    <mergeCell ref="I34:J34"/>
    <mergeCell ref="G50:G53"/>
    <mergeCell ref="H50:H53"/>
    <mergeCell ref="G35:H35"/>
    <mergeCell ref="I35:J35"/>
    <mergeCell ref="C85:C112"/>
    <mergeCell ref="F85:L85"/>
    <mergeCell ref="E86:M86"/>
    <mergeCell ref="F89:M89"/>
    <mergeCell ref="F90:M90"/>
    <mergeCell ref="E92:E93"/>
    <mergeCell ref="F92:F93"/>
    <mergeCell ref="G92:G93"/>
    <mergeCell ref="H92:H93"/>
    <mergeCell ref="J92:M92"/>
    <mergeCell ref="F94:F95"/>
    <mergeCell ref="G94:G95"/>
    <mergeCell ref="H94:H95"/>
    <mergeCell ref="I94:I95"/>
    <mergeCell ref="J94:J101"/>
    <mergeCell ref="K94:K101"/>
    <mergeCell ref="L94:L101"/>
    <mergeCell ref="M94:M101"/>
    <mergeCell ref="F96:F98"/>
    <mergeCell ref="G96:G98"/>
    <mergeCell ref="H96:H98"/>
    <mergeCell ref="I96:I98"/>
    <mergeCell ref="F99:F101"/>
    <mergeCell ref="E107:F107"/>
    <mergeCell ref="C114:C146"/>
    <mergeCell ref="F114:M114"/>
    <mergeCell ref="F115:M115"/>
    <mergeCell ref="E121:L121"/>
    <mergeCell ref="E123:E124"/>
    <mergeCell ref="H123:H124"/>
    <mergeCell ref="I123:I124"/>
    <mergeCell ref="J123:M123"/>
    <mergeCell ref="E142:F142"/>
    <mergeCell ref="G142:H142"/>
    <mergeCell ref="I142:J142"/>
    <mergeCell ref="L142:M142"/>
    <mergeCell ref="E145:F145"/>
    <mergeCell ref="E146:F146"/>
    <mergeCell ref="J125:J137"/>
    <mergeCell ref="K125:K137"/>
    <mergeCell ref="L125:L137"/>
    <mergeCell ref="M125:M137"/>
    <mergeCell ref="L141:M141"/>
    <mergeCell ref="F153:I153"/>
    <mergeCell ref="F154:I154"/>
    <mergeCell ref="E156:E157"/>
    <mergeCell ref="G156:G157"/>
    <mergeCell ref="I156:I157"/>
    <mergeCell ref="J156:M156"/>
    <mergeCell ref="K158:K184"/>
    <mergeCell ref="L158:L184"/>
    <mergeCell ref="M158:M184"/>
    <mergeCell ref="F161:F162"/>
    <mergeCell ref="G161:G162"/>
    <mergeCell ref="H161:H162"/>
    <mergeCell ref="C177:C194"/>
    <mergeCell ref="E189:F189"/>
    <mergeCell ref="G189:H189"/>
    <mergeCell ref="E193:F193"/>
    <mergeCell ref="E194:F194"/>
    <mergeCell ref="F165:F167"/>
    <mergeCell ref="G165:G167"/>
    <mergeCell ref="H165:H166"/>
    <mergeCell ref="I165:I166"/>
    <mergeCell ref="F170:F171"/>
    <mergeCell ref="H170:H171"/>
    <mergeCell ref="I189:J189"/>
    <mergeCell ref="F174:F175"/>
    <mergeCell ref="G174:G175"/>
    <mergeCell ref="H174:H175"/>
    <mergeCell ref="L189:M189"/>
    <mergeCell ref="E190:F190"/>
    <mergeCell ref="G190:H190"/>
    <mergeCell ref="F224:F226"/>
    <mergeCell ref="G224:G226"/>
    <mergeCell ref="H224:H226"/>
    <mergeCell ref="I224:I226"/>
    <mergeCell ref="F216:F219"/>
    <mergeCell ref="I190:J190"/>
    <mergeCell ref="L190:M190"/>
    <mergeCell ref="G216:G219"/>
    <mergeCell ref="H216:H219"/>
    <mergeCell ref="I216:I219"/>
    <mergeCell ref="J216:J232"/>
    <mergeCell ref="K216:K232"/>
    <mergeCell ref="F227:F228"/>
    <mergeCell ref="G227:G228"/>
    <mergeCell ref="H227:H228"/>
    <mergeCell ref="I227:I228"/>
    <mergeCell ref="J214:M214"/>
    <mergeCell ref="F229:F232"/>
    <mergeCell ref="G229:G232"/>
    <mergeCell ref="H229:H232"/>
    <mergeCell ref="I229:I232"/>
    <mergeCell ref="L282:M282"/>
    <mergeCell ref="M261:M276"/>
    <mergeCell ref="E241:F241"/>
    <mergeCell ref="H267:H269"/>
    <mergeCell ref="I267:I269"/>
    <mergeCell ref="F261:F263"/>
    <mergeCell ref="K261:K276"/>
    <mergeCell ref="F270:F272"/>
    <mergeCell ref="G270:G272"/>
    <mergeCell ref="H270:H272"/>
    <mergeCell ref="I270:I272"/>
    <mergeCell ref="L281:M281"/>
    <mergeCell ref="G261:G263"/>
    <mergeCell ref="H261:H263"/>
    <mergeCell ref="I261:I263"/>
    <mergeCell ref="J261:J276"/>
    <mergeCell ref="C250:C286"/>
    <mergeCell ref="F250:L250"/>
    <mergeCell ref="E251:M251"/>
    <mergeCell ref="F254:M255"/>
    <mergeCell ref="F256:M257"/>
    <mergeCell ref="E259:E260"/>
    <mergeCell ref="G259:G260"/>
    <mergeCell ref="I259:I260"/>
    <mergeCell ref="J259:M259"/>
    <mergeCell ref="E285:F285"/>
    <mergeCell ref="F273:F276"/>
    <mergeCell ref="G273:G276"/>
    <mergeCell ref="H273:H276"/>
    <mergeCell ref="I273:I276"/>
    <mergeCell ref="E281:F281"/>
    <mergeCell ref="G281:H281"/>
    <mergeCell ref="I281:J281"/>
    <mergeCell ref="L261:L276"/>
    <mergeCell ref="F264:F266"/>
    <mergeCell ref="G264:G266"/>
    <mergeCell ref="H264:H266"/>
    <mergeCell ref="I264:I266"/>
    <mergeCell ref="F267:F269"/>
    <mergeCell ref="G267:G269"/>
    <mergeCell ref="C207:C241"/>
    <mergeCell ref="F207:L207"/>
    <mergeCell ref="E208:M208"/>
    <mergeCell ref="F211:M211"/>
    <mergeCell ref="F212:M212"/>
    <mergeCell ref="E213:M213"/>
    <mergeCell ref="E214:E215"/>
    <mergeCell ref="G214:G215"/>
    <mergeCell ref="I214:I215"/>
    <mergeCell ref="L216:L232"/>
    <mergeCell ref="M216:M232"/>
    <mergeCell ref="F220:F223"/>
    <mergeCell ref="G220:G223"/>
    <mergeCell ref="H220:H223"/>
    <mergeCell ref="I220:I223"/>
    <mergeCell ref="L236:M236"/>
    <mergeCell ref="E237:F237"/>
    <mergeCell ref="G237:H237"/>
    <mergeCell ref="I237:J237"/>
    <mergeCell ref="L237:M237"/>
    <mergeCell ref="E240:F240"/>
    <mergeCell ref="E236:F236"/>
    <mergeCell ref="G236:H236"/>
    <mergeCell ref="I236:J236"/>
    <mergeCell ref="C290:C327"/>
    <mergeCell ref="F290:L290"/>
    <mergeCell ref="E291:M291"/>
    <mergeCell ref="E298:M299"/>
    <mergeCell ref="E300:E301"/>
    <mergeCell ref="G300:G301"/>
    <mergeCell ref="I300:I301"/>
    <mergeCell ref="G306:G309"/>
    <mergeCell ref="H306:H309"/>
    <mergeCell ref="I306:I309"/>
    <mergeCell ref="F310:F311"/>
    <mergeCell ref="G310:G311"/>
    <mergeCell ref="H310:H311"/>
    <mergeCell ref="I310:I311"/>
    <mergeCell ref="J300:M300"/>
    <mergeCell ref="F302:F305"/>
    <mergeCell ref="G302:G305"/>
    <mergeCell ref="H302:H305"/>
    <mergeCell ref="I302:I305"/>
    <mergeCell ref="J302:J318"/>
    <mergeCell ref="K302:K318"/>
    <mergeCell ref="L302:L318"/>
    <mergeCell ref="M302:M318"/>
    <mergeCell ref="F306:F309"/>
    <mergeCell ref="E322:F322"/>
    <mergeCell ref="G322:H322"/>
    <mergeCell ref="I322:J322"/>
    <mergeCell ref="L322:M322"/>
    <mergeCell ref="E323:F323"/>
    <mergeCell ref="G323:H323"/>
    <mergeCell ref="I323:J323"/>
    <mergeCell ref="L323:M323"/>
    <mergeCell ref="F312:F314"/>
    <mergeCell ref="G312:G314"/>
    <mergeCell ref="H312:H314"/>
    <mergeCell ref="I312:I314"/>
    <mergeCell ref="F315:F318"/>
    <mergeCell ref="G315:G318"/>
    <mergeCell ref="H315:H318"/>
    <mergeCell ref="I315:I318"/>
    <mergeCell ref="C336:C368"/>
    <mergeCell ref="F336:L336"/>
    <mergeCell ref="E337:M337"/>
    <mergeCell ref="F339:L339"/>
    <mergeCell ref="F340:M340"/>
    <mergeCell ref="F341:M341"/>
    <mergeCell ref="E343:E344"/>
    <mergeCell ref="G343:G344"/>
    <mergeCell ref="J343:M343"/>
    <mergeCell ref="F345:F346"/>
    <mergeCell ref="G345:G346"/>
    <mergeCell ref="H345:H346"/>
    <mergeCell ref="I345:I346"/>
    <mergeCell ref="J345:J359"/>
    <mergeCell ref="K345:K359"/>
    <mergeCell ref="L345:L359"/>
    <mergeCell ref="M345:M359"/>
    <mergeCell ref="F347:F348"/>
    <mergeCell ref="G347:G348"/>
    <mergeCell ref="H347:H348"/>
    <mergeCell ref="I347:I348"/>
    <mergeCell ref="F349:F351"/>
    <mergeCell ref="G349:G351"/>
    <mergeCell ref="H349:H351"/>
    <mergeCell ref="F352:F355"/>
    <mergeCell ref="G352:G355"/>
    <mergeCell ref="H352:H355"/>
    <mergeCell ref="I352:I355"/>
    <mergeCell ref="F356:F358"/>
    <mergeCell ref="G356:G358"/>
    <mergeCell ref="H356:H358"/>
    <mergeCell ref="I356:I358"/>
    <mergeCell ref="E326:F326"/>
    <mergeCell ref="E327:F327"/>
    <mergeCell ref="I349:I351"/>
    <mergeCell ref="E363:F363"/>
    <mergeCell ref="G363:H363"/>
    <mergeCell ref="I363:J363"/>
    <mergeCell ref="L363:M363"/>
    <mergeCell ref="E364:F364"/>
    <mergeCell ref="G364:H364"/>
    <mergeCell ref="I364:J364"/>
    <mergeCell ref="L364:M364"/>
    <mergeCell ref="J399:J414"/>
    <mergeCell ref="K399:K414"/>
    <mergeCell ref="L399:L414"/>
    <mergeCell ref="M399:M414"/>
    <mergeCell ref="F399:F401"/>
    <mergeCell ref="G399:G401"/>
    <mergeCell ref="F463:N464"/>
    <mergeCell ref="E367:F367"/>
    <mergeCell ref="E368:F368"/>
    <mergeCell ref="D380:M380"/>
    <mergeCell ref="D381:M381"/>
    <mergeCell ref="F383:M384"/>
    <mergeCell ref="F385:M386"/>
    <mergeCell ref="E387:E389"/>
    <mergeCell ref="F387:M388"/>
    <mergeCell ref="E392:E393"/>
    <mergeCell ref="F392:F393"/>
    <mergeCell ref="G392:G393"/>
    <mergeCell ref="H392:H393"/>
    <mergeCell ref="I392:I393"/>
    <mergeCell ref="J392:M392"/>
    <mergeCell ref="D457:N457"/>
    <mergeCell ref="D458:N458"/>
    <mergeCell ref="F461:N462"/>
    <mergeCell ref="F394:F398"/>
    <mergeCell ref="E427:F427"/>
    <mergeCell ref="C415:C427"/>
    <mergeCell ref="E421:F421"/>
    <mergeCell ref="G421:H421"/>
    <mergeCell ref="I421:J421"/>
    <mergeCell ref="L421:M421"/>
    <mergeCell ref="E422:F422"/>
    <mergeCell ref="G422:H422"/>
    <mergeCell ref="I422:J422"/>
    <mergeCell ref="L422:M422"/>
    <mergeCell ref="E426:F426"/>
    <mergeCell ref="C483:C503"/>
    <mergeCell ref="H468:H469"/>
    <mergeCell ref="I468:I469"/>
    <mergeCell ref="J468:M468"/>
    <mergeCell ref="J470:J496"/>
    <mergeCell ref="K470:K496"/>
    <mergeCell ref="L470:L496"/>
    <mergeCell ref="M470:M496"/>
    <mergeCell ref="C504:C511"/>
    <mergeCell ref="E506:F506"/>
    <mergeCell ref="G506:H506"/>
    <mergeCell ref="I506:J506"/>
    <mergeCell ref="L506:M506"/>
    <mergeCell ref="E507:F507"/>
    <mergeCell ref="G507:H507"/>
    <mergeCell ref="I507:J507"/>
    <mergeCell ref="L507:M507"/>
    <mergeCell ref="E510:F510"/>
    <mergeCell ref="E511:F511"/>
    <mergeCell ref="D468:D469"/>
    <mergeCell ref="E468:E469"/>
    <mergeCell ref="F468:F469"/>
    <mergeCell ref="G468:G469"/>
    <mergeCell ref="I594:J594"/>
    <mergeCell ref="L594:M594"/>
    <mergeCell ref="E597:F597"/>
    <mergeCell ref="I593:J593"/>
    <mergeCell ref="E598:F598"/>
    <mergeCell ref="F549:L549"/>
    <mergeCell ref="E550:M550"/>
    <mergeCell ref="F553:M553"/>
    <mergeCell ref="F554:M554"/>
    <mergeCell ref="E556:E557"/>
    <mergeCell ref="G556:G557"/>
    <mergeCell ref="I556:I557"/>
    <mergeCell ref="J556:M556"/>
    <mergeCell ref="I558:I562"/>
    <mergeCell ref="J558:J588"/>
    <mergeCell ref="K558:K588"/>
    <mergeCell ref="L558:L588"/>
    <mergeCell ref="M558:M588"/>
    <mergeCell ref="G563:G565"/>
    <mergeCell ref="I563:I565"/>
    <mergeCell ref="H575:H576"/>
    <mergeCell ref="C578:C598"/>
    <mergeCell ref="I579:I581"/>
    <mergeCell ref="G582:G583"/>
    <mergeCell ref="H582:H583"/>
    <mergeCell ref="I582:I584"/>
    <mergeCell ref="E593:F593"/>
    <mergeCell ref="G593:H593"/>
    <mergeCell ref="I635:I636"/>
    <mergeCell ref="F638:F639"/>
    <mergeCell ref="I638:I639"/>
    <mergeCell ref="F606:L606"/>
    <mergeCell ref="E607:M607"/>
    <mergeCell ref="F610:M610"/>
    <mergeCell ref="F611:M611"/>
    <mergeCell ref="E613:E614"/>
    <mergeCell ref="G613:G614"/>
    <mergeCell ref="I613:I614"/>
    <mergeCell ref="J613:M613"/>
    <mergeCell ref="F615:F617"/>
    <mergeCell ref="H615:H617"/>
    <mergeCell ref="J615:J675"/>
    <mergeCell ref="L593:M593"/>
    <mergeCell ref="E594:F594"/>
    <mergeCell ref="G594:H594"/>
    <mergeCell ref="K615:K675"/>
    <mergeCell ref="L615:L675"/>
    <mergeCell ref="M615:M675"/>
    <mergeCell ref="F657:F659"/>
    <mergeCell ref="G657:G662"/>
    <mergeCell ref="H657:H662"/>
    <mergeCell ref="F644:F645"/>
    <mergeCell ref="G644:G647"/>
    <mergeCell ref="G615:G616"/>
    <mergeCell ref="G618:G619"/>
    <mergeCell ref="G626:G639"/>
    <mergeCell ref="G641:G642"/>
    <mergeCell ref="H626:H639"/>
    <mergeCell ref="F626:F627"/>
    <mergeCell ref="F629:F630"/>
    <mergeCell ref="F632:F633"/>
    <mergeCell ref="I632:I633"/>
    <mergeCell ref="G621:G622"/>
    <mergeCell ref="H621:H623"/>
    <mergeCell ref="F641:F642"/>
    <mergeCell ref="C662:C663"/>
    <mergeCell ref="C664:C685"/>
    <mergeCell ref="F664:F666"/>
    <mergeCell ref="G664:G666"/>
    <mergeCell ref="H664:H666"/>
    <mergeCell ref="C633:C661"/>
    <mergeCell ref="F635:F636"/>
    <mergeCell ref="H644:H647"/>
    <mergeCell ref="I664:I666"/>
    <mergeCell ref="H672:H675"/>
    <mergeCell ref="I674:I675"/>
    <mergeCell ref="F672:F673"/>
    <mergeCell ref="G672:G675"/>
    <mergeCell ref="F668:F670"/>
    <mergeCell ref="G668:G670"/>
    <mergeCell ref="H668:H669"/>
    <mergeCell ref="H654:H655"/>
    <mergeCell ref="L680:M680"/>
    <mergeCell ref="E681:F681"/>
    <mergeCell ref="G681:H681"/>
    <mergeCell ref="I681:J681"/>
    <mergeCell ref="L681:M681"/>
    <mergeCell ref="K720:K741"/>
    <mergeCell ref="L720:L741"/>
    <mergeCell ref="E680:F680"/>
    <mergeCell ref="G680:H680"/>
    <mergeCell ref="E684:F684"/>
    <mergeCell ref="E685:F685"/>
    <mergeCell ref="F724:F725"/>
    <mergeCell ref="F727:F728"/>
    <mergeCell ref="F729:F730"/>
    <mergeCell ref="F731:F732"/>
    <mergeCell ref="F740:F741"/>
    <mergeCell ref="I680:J680"/>
    <mergeCell ref="F294:M295"/>
    <mergeCell ref="F296:M297"/>
    <mergeCell ref="E752:F752"/>
    <mergeCell ref="E753:F753"/>
    <mergeCell ref="I740:I741"/>
    <mergeCell ref="C746:C762"/>
    <mergeCell ref="E748:F748"/>
    <mergeCell ref="G748:H748"/>
    <mergeCell ref="I748:J748"/>
    <mergeCell ref="L748:M748"/>
    <mergeCell ref="E749:F749"/>
    <mergeCell ref="G749:H749"/>
    <mergeCell ref="I749:J749"/>
    <mergeCell ref="L749:M749"/>
    <mergeCell ref="F710:L710"/>
    <mergeCell ref="E711:M711"/>
    <mergeCell ref="F714:M715"/>
    <mergeCell ref="F716:M716"/>
    <mergeCell ref="E718:E719"/>
    <mergeCell ref="G718:G719"/>
    <mergeCell ref="I718:I719"/>
    <mergeCell ref="J718:M718"/>
    <mergeCell ref="J720:J741"/>
    <mergeCell ref="M720:M741"/>
  </mergeCells>
  <printOptions horizontalCentered="1"/>
  <pageMargins left="0" right="0" top="0.5" bottom="0.5" header="0" footer="0"/>
  <pageSetup paperSize="14"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workbookViewId="0">
      <selection activeCell="A4" sqref="A4:L78"/>
    </sheetView>
  </sheetViews>
  <sheetFormatPr defaultRowHeight="12.75" x14ac:dyDescent="0.2"/>
  <cols>
    <col min="1" max="1" width="9.5703125" customWidth="1"/>
    <col min="2" max="2" width="11.140625" customWidth="1"/>
    <col min="4" max="4" width="9.85546875" customWidth="1"/>
    <col min="5" max="5" width="9.5703125" customWidth="1"/>
    <col min="6" max="6" width="10" customWidth="1"/>
    <col min="7" max="7" width="10.140625" customWidth="1"/>
    <col min="8" max="8" width="10.7109375" customWidth="1"/>
    <col min="9" max="9" width="9.85546875" customWidth="1"/>
    <col min="10" max="10" width="11" customWidth="1"/>
    <col min="11" max="11" width="10.85546875" customWidth="1"/>
    <col min="12" max="12" width="14.7109375" customWidth="1"/>
  </cols>
  <sheetData>
    <row r="1" spans="1:12" x14ac:dyDescent="0.2">
      <c r="A1" s="7"/>
      <c r="L1" s="51"/>
    </row>
    <row r="4" spans="1:12" x14ac:dyDescent="0.2">
      <c r="A4" s="1070" t="s">
        <v>653</v>
      </c>
      <c r="B4" s="1070"/>
      <c r="C4" s="1070"/>
      <c r="D4" s="1070"/>
      <c r="E4" s="1070"/>
      <c r="F4" s="1070"/>
      <c r="G4" s="1070"/>
      <c r="H4" s="1070"/>
      <c r="I4" s="1070"/>
      <c r="J4" s="1070"/>
      <c r="K4" s="1070"/>
      <c r="L4" s="1070"/>
    </row>
    <row r="5" spans="1:12" x14ac:dyDescent="0.2">
      <c r="A5" s="1070" t="s">
        <v>364</v>
      </c>
      <c r="B5" s="1070"/>
      <c r="C5" s="1070"/>
      <c r="D5" s="1070"/>
      <c r="E5" s="1070"/>
      <c r="F5" s="1070"/>
      <c r="G5" s="1070"/>
      <c r="H5" s="1070"/>
      <c r="I5" s="1070"/>
      <c r="J5" s="1070"/>
      <c r="K5" s="1070"/>
      <c r="L5" s="1070"/>
    </row>
    <row r="6" spans="1:12" x14ac:dyDescent="0.2">
      <c r="A6" s="1070" t="s">
        <v>1540</v>
      </c>
      <c r="B6" s="1070"/>
      <c r="C6" s="1070"/>
      <c r="D6" s="1070"/>
      <c r="E6" s="1070"/>
      <c r="F6" s="1070"/>
      <c r="G6" s="1070"/>
      <c r="H6" s="1070"/>
      <c r="I6" s="1070"/>
      <c r="J6" s="1070"/>
      <c r="K6" s="1070"/>
      <c r="L6" s="1070"/>
    </row>
    <row r="9" spans="1:12" s="7" customFormat="1" x14ac:dyDescent="0.2">
      <c r="A9" s="62"/>
      <c r="B9" s="64"/>
      <c r="C9" s="59"/>
      <c r="D9" s="64"/>
      <c r="E9" s="64"/>
      <c r="F9" s="59"/>
      <c r="G9" s="59"/>
      <c r="H9" s="59"/>
      <c r="I9" s="62"/>
      <c r="J9" s="59"/>
      <c r="K9" s="60"/>
      <c r="L9" s="64"/>
    </row>
    <row r="10" spans="1:12" s="7" customFormat="1" x14ac:dyDescent="0.2">
      <c r="A10" s="55"/>
      <c r="B10" s="65" t="s">
        <v>654</v>
      </c>
      <c r="C10" s="19"/>
      <c r="D10" s="65" t="s">
        <v>655</v>
      </c>
      <c r="E10" s="66"/>
      <c r="F10" s="1262" t="s">
        <v>657</v>
      </c>
      <c r="G10" s="1263"/>
      <c r="H10" s="1264"/>
      <c r="I10" s="1271" t="s">
        <v>170</v>
      </c>
      <c r="J10" s="1272"/>
      <c r="K10" s="1273"/>
      <c r="L10" s="65" t="s">
        <v>658</v>
      </c>
    </row>
    <row r="11" spans="1:12" s="7" customFormat="1" x14ac:dyDescent="0.2">
      <c r="A11" s="55" t="s">
        <v>171</v>
      </c>
      <c r="B11" s="65" t="s">
        <v>175</v>
      </c>
      <c r="C11" s="61" t="s">
        <v>172</v>
      </c>
      <c r="D11" s="65" t="s">
        <v>176</v>
      </c>
      <c r="E11" s="65" t="s">
        <v>656</v>
      </c>
      <c r="F11" s="1265"/>
      <c r="G11" s="1266"/>
      <c r="H11" s="1267"/>
      <c r="I11" s="1268" t="s">
        <v>174</v>
      </c>
      <c r="J11" s="1269"/>
      <c r="K11" s="1270"/>
      <c r="L11" s="65" t="s">
        <v>173</v>
      </c>
    </row>
    <row r="12" spans="1:12" s="7" customFormat="1" x14ac:dyDescent="0.2">
      <c r="A12" s="55"/>
      <c r="B12" s="66"/>
      <c r="C12" s="19"/>
      <c r="D12" s="66"/>
      <c r="E12" s="66"/>
      <c r="F12" s="67" t="s">
        <v>173</v>
      </c>
      <c r="G12" s="67" t="s">
        <v>177</v>
      </c>
      <c r="H12" s="67" t="s">
        <v>178</v>
      </c>
      <c r="I12" s="61" t="s">
        <v>173</v>
      </c>
      <c r="J12" s="67" t="s">
        <v>177</v>
      </c>
      <c r="K12" s="56" t="s">
        <v>178</v>
      </c>
      <c r="L12" s="66"/>
    </row>
    <row r="13" spans="1:12" s="72" customFormat="1" ht="11.25" x14ac:dyDescent="0.2">
      <c r="A13" s="68"/>
      <c r="B13" s="69"/>
      <c r="C13" s="70"/>
      <c r="D13" s="69"/>
      <c r="E13" s="69"/>
      <c r="F13" s="69"/>
      <c r="G13" s="69"/>
      <c r="H13" s="69"/>
      <c r="I13" s="70"/>
      <c r="J13" s="69"/>
      <c r="K13" s="71"/>
      <c r="L13" s="69"/>
    </row>
    <row r="14" spans="1:12" x14ac:dyDescent="0.2">
      <c r="A14" s="4"/>
      <c r="B14" s="26"/>
      <c r="C14" s="3"/>
      <c r="D14" s="26"/>
      <c r="E14" s="26"/>
      <c r="F14" s="26"/>
      <c r="G14" s="26"/>
      <c r="H14" s="26"/>
      <c r="I14" s="3"/>
      <c r="J14" s="26"/>
      <c r="K14" s="3"/>
      <c r="L14" s="57"/>
    </row>
    <row r="15" spans="1:12" x14ac:dyDescent="0.2">
      <c r="A15" s="100" t="s">
        <v>179</v>
      </c>
      <c r="B15" s="100" t="s">
        <v>179</v>
      </c>
      <c r="C15" s="100" t="s">
        <v>179</v>
      </c>
      <c r="D15" s="100" t="s">
        <v>179</v>
      </c>
      <c r="E15" s="100" t="s">
        <v>179</v>
      </c>
      <c r="F15" s="100" t="s">
        <v>179</v>
      </c>
      <c r="G15" s="100" t="s">
        <v>179</v>
      </c>
      <c r="H15" s="100" t="s">
        <v>179</v>
      </c>
      <c r="I15" s="100" t="s">
        <v>179</v>
      </c>
      <c r="J15" s="100" t="s">
        <v>179</v>
      </c>
      <c r="K15" s="100" t="s">
        <v>179</v>
      </c>
      <c r="L15" s="101" t="s">
        <v>179</v>
      </c>
    </row>
    <row r="16" spans="1:12" x14ac:dyDescent="0.2">
      <c r="A16" s="4"/>
      <c r="B16" s="26"/>
      <c r="C16" s="3"/>
      <c r="D16" s="26"/>
      <c r="E16" s="26"/>
      <c r="F16" s="26"/>
      <c r="G16" s="26"/>
      <c r="H16" s="26"/>
      <c r="I16" s="3"/>
      <c r="J16" s="26"/>
      <c r="K16" s="3"/>
      <c r="L16" s="26"/>
    </row>
    <row r="17" spans="1:12" x14ac:dyDescent="0.2">
      <c r="A17" s="4"/>
      <c r="B17" s="26"/>
      <c r="C17" s="3"/>
      <c r="D17" s="26"/>
      <c r="E17" s="26"/>
      <c r="F17" s="26"/>
      <c r="G17" s="26"/>
      <c r="H17" s="26"/>
      <c r="I17" s="3"/>
      <c r="J17" s="26"/>
      <c r="K17" s="3"/>
      <c r="L17" s="26"/>
    </row>
    <row r="18" spans="1:12" x14ac:dyDescent="0.2">
      <c r="A18" s="4"/>
      <c r="B18" s="26"/>
      <c r="C18" s="3"/>
      <c r="D18" s="26"/>
      <c r="E18" s="26"/>
      <c r="F18" s="26"/>
      <c r="G18" s="26"/>
      <c r="H18" s="26"/>
      <c r="I18" s="3"/>
      <c r="J18" s="26"/>
      <c r="K18" s="3"/>
      <c r="L18" s="26"/>
    </row>
    <row r="19" spans="1:12" x14ac:dyDescent="0.2">
      <c r="A19" s="4"/>
      <c r="B19" s="26"/>
      <c r="C19" s="3"/>
      <c r="D19" s="26"/>
      <c r="E19" s="26"/>
      <c r="F19" s="26"/>
      <c r="G19" s="26"/>
      <c r="H19" s="26"/>
      <c r="I19" s="3"/>
      <c r="J19" s="26"/>
      <c r="K19" s="3"/>
      <c r="L19" s="26"/>
    </row>
    <row r="20" spans="1:12" x14ac:dyDescent="0.2">
      <c r="A20" s="4"/>
      <c r="B20" s="26"/>
      <c r="C20" s="3"/>
      <c r="D20" s="26"/>
      <c r="E20" s="26"/>
      <c r="F20" s="26"/>
      <c r="G20" s="26"/>
      <c r="H20" s="26"/>
      <c r="I20" s="3"/>
      <c r="J20" s="26"/>
      <c r="K20" s="3"/>
      <c r="L20" s="26"/>
    </row>
    <row r="21" spans="1:12" x14ac:dyDescent="0.2">
      <c r="A21" s="4"/>
      <c r="B21" s="26"/>
      <c r="C21" s="3"/>
      <c r="D21" s="26"/>
      <c r="E21" s="26"/>
      <c r="F21" s="26"/>
      <c r="G21" s="26"/>
      <c r="H21" s="26"/>
      <c r="I21" s="3"/>
      <c r="J21" s="26"/>
      <c r="K21" s="3"/>
      <c r="L21" s="26"/>
    </row>
    <row r="22" spans="1:12" x14ac:dyDescent="0.2">
      <c r="A22" s="4"/>
      <c r="B22" s="26"/>
      <c r="C22" s="3"/>
      <c r="D22" s="26"/>
      <c r="E22" s="26"/>
      <c r="F22" s="26"/>
      <c r="G22" s="26"/>
      <c r="H22" s="26"/>
      <c r="I22" s="3"/>
      <c r="J22" s="26"/>
      <c r="K22" s="3"/>
      <c r="L22" s="26"/>
    </row>
    <row r="23" spans="1:12" x14ac:dyDescent="0.2">
      <c r="A23" s="4"/>
      <c r="B23" s="26"/>
      <c r="C23" s="3"/>
      <c r="D23" s="26"/>
      <c r="E23" s="26"/>
      <c r="F23" s="26"/>
      <c r="G23" s="26"/>
      <c r="H23" s="26"/>
      <c r="I23" s="3"/>
      <c r="J23" s="26"/>
      <c r="K23" s="3"/>
      <c r="L23" s="26"/>
    </row>
    <row r="24" spans="1:12" x14ac:dyDescent="0.2">
      <c r="A24" s="4"/>
      <c r="B24" s="26"/>
      <c r="C24" s="3"/>
      <c r="D24" s="26"/>
      <c r="E24" s="26"/>
      <c r="F24" s="26"/>
      <c r="G24" s="26"/>
      <c r="H24" s="26"/>
      <c r="I24" s="3"/>
      <c r="J24" s="26"/>
      <c r="K24" s="3"/>
      <c r="L24" s="26"/>
    </row>
    <row r="25" spans="1:12" x14ac:dyDescent="0.2">
      <c r="A25" s="4"/>
      <c r="B25" s="26"/>
      <c r="C25" s="3"/>
      <c r="D25" s="26"/>
      <c r="E25" s="26"/>
      <c r="F25" s="26"/>
      <c r="G25" s="26"/>
      <c r="H25" s="26"/>
      <c r="I25" s="3"/>
      <c r="J25" s="26"/>
      <c r="K25" s="3"/>
      <c r="L25" s="26"/>
    </row>
    <row r="26" spans="1:12" x14ac:dyDescent="0.2">
      <c r="A26" s="4"/>
      <c r="B26" s="26"/>
      <c r="C26" s="3"/>
      <c r="D26" s="26"/>
      <c r="E26" s="26"/>
      <c r="F26" s="26"/>
      <c r="G26" s="26"/>
      <c r="H26" s="26"/>
      <c r="I26" s="3"/>
      <c r="J26" s="26"/>
      <c r="K26" s="3"/>
      <c r="L26" s="26"/>
    </row>
    <row r="27" spans="1:12" x14ac:dyDescent="0.2">
      <c r="A27" s="4"/>
      <c r="B27" s="26"/>
      <c r="C27" s="3"/>
      <c r="D27" s="26"/>
      <c r="E27" s="26"/>
      <c r="F27" s="26"/>
      <c r="G27" s="26"/>
      <c r="H27" s="26"/>
      <c r="I27" s="3"/>
      <c r="J27" s="26"/>
      <c r="K27" s="3"/>
      <c r="L27" s="26"/>
    </row>
    <row r="28" spans="1:12" x14ac:dyDescent="0.2">
      <c r="A28" s="4"/>
      <c r="B28" s="26"/>
      <c r="C28" s="3"/>
      <c r="D28" s="26"/>
      <c r="E28" s="26"/>
      <c r="F28" s="26"/>
      <c r="G28" s="26"/>
      <c r="H28" s="26"/>
      <c r="I28" s="3"/>
      <c r="J28" s="26"/>
      <c r="K28" s="3"/>
      <c r="L28" s="26"/>
    </row>
    <row r="29" spans="1:12" x14ac:dyDescent="0.2">
      <c r="A29" s="4"/>
      <c r="B29" s="26"/>
      <c r="C29" s="3"/>
      <c r="D29" s="26"/>
      <c r="E29" s="26"/>
      <c r="F29" s="26"/>
      <c r="G29" s="26"/>
      <c r="H29" s="26"/>
      <c r="I29" s="3"/>
      <c r="J29" s="26"/>
      <c r="K29" s="3"/>
      <c r="L29" s="26"/>
    </row>
    <row r="30" spans="1:12" x14ac:dyDescent="0.2">
      <c r="A30" s="4"/>
      <c r="B30" s="26"/>
      <c r="C30" s="3"/>
      <c r="D30" s="26"/>
      <c r="E30" s="26"/>
      <c r="F30" s="26"/>
      <c r="G30" s="26"/>
      <c r="H30" s="26"/>
      <c r="I30" s="3"/>
      <c r="J30" s="26"/>
      <c r="K30" s="3"/>
      <c r="L30" s="26"/>
    </row>
    <row r="31" spans="1:12" x14ac:dyDescent="0.2">
      <c r="A31" s="4"/>
      <c r="B31" s="26"/>
      <c r="C31" s="3"/>
      <c r="D31" s="26"/>
      <c r="E31" s="26"/>
      <c r="F31" s="26"/>
      <c r="G31" s="26"/>
      <c r="H31" s="26"/>
      <c r="I31" s="3"/>
      <c r="J31" s="26"/>
      <c r="K31" s="3"/>
      <c r="L31" s="26"/>
    </row>
    <row r="32" spans="1:12" x14ac:dyDescent="0.2">
      <c r="A32" s="4"/>
      <c r="B32" s="26"/>
      <c r="C32" s="3"/>
      <c r="D32" s="26"/>
      <c r="E32" s="26"/>
      <c r="F32" s="26"/>
      <c r="G32" s="26"/>
      <c r="H32" s="26"/>
      <c r="I32" s="3"/>
      <c r="J32" s="26"/>
      <c r="K32" s="3"/>
      <c r="L32" s="26"/>
    </row>
    <row r="33" spans="1:12" x14ac:dyDescent="0.2">
      <c r="A33" s="4"/>
      <c r="B33" s="26"/>
      <c r="C33" s="3"/>
      <c r="D33" s="26"/>
      <c r="E33" s="26"/>
      <c r="F33" s="26"/>
      <c r="G33" s="26"/>
      <c r="H33" s="26"/>
      <c r="I33" s="3"/>
      <c r="J33" s="26"/>
      <c r="K33" s="3"/>
      <c r="L33" s="26"/>
    </row>
    <row r="34" spans="1:12" x14ac:dyDescent="0.2">
      <c r="A34" s="4"/>
      <c r="B34" s="26"/>
      <c r="C34" s="3"/>
      <c r="D34" s="26"/>
      <c r="E34" s="26"/>
      <c r="F34" s="26"/>
      <c r="G34" s="26"/>
      <c r="H34" s="26"/>
      <c r="I34" s="3"/>
      <c r="J34" s="26"/>
      <c r="K34" s="3"/>
      <c r="L34" s="26"/>
    </row>
    <row r="35" spans="1:12" x14ac:dyDescent="0.2">
      <c r="A35" s="4"/>
      <c r="B35" s="26"/>
      <c r="C35" s="3"/>
      <c r="D35" s="26"/>
      <c r="E35" s="26"/>
      <c r="F35" s="26"/>
      <c r="G35" s="26"/>
      <c r="H35" s="26"/>
      <c r="I35" s="3"/>
      <c r="J35" s="26"/>
      <c r="K35" s="3"/>
      <c r="L35" s="26"/>
    </row>
    <row r="36" spans="1:12" x14ac:dyDescent="0.2">
      <c r="A36" s="4"/>
      <c r="B36" s="26"/>
      <c r="C36" s="3"/>
      <c r="D36" s="26"/>
      <c r="E36" s="26"/>
      <c r="F36" s="26"/>
      <c r="G36" s="26"/>
      <c r="H36" s="26"/>
      <c r="I36" s="3"/>
      <c r="J36" s="26"/>
      <c r="K36" s="3"/>
      <c r="L36" s="26"/>
    </row>
    <row r="37" spans="1:12" x14ac:dyDescent="0.2">
      <c r="A37" s="4"/>
      <c r="B37" s="26"/>
      <c r="C37" s="3"/>
      <c r="D37" s="26"/>
      <c r="E37" s="26"/>
      <c r="F37" s="26"/>
      <c r="G37" s="26"/>
      <c r="H37" s="26"/>
      <c r="I37" s="3"/>
      <c r="J37" s="26"/>
      <c r="K37" s="3"/>
      <c r="L37" s="26"/>
    </row>
    <row r="38" spans="1:12" x14ac:dyDescent="0.2">
      <c r="A38" s="4"/>
      <c r="B38" s="26"/>
      <c r="C38" s="3"/>
      <c r="D38" s="26"/>
      <c r="E38" s="26"/>
      <c r="F38" s="26"/>
      <c r="G38" s="26"/>
      <c r="H38" s="26"/>
      <c r="I38" s="3"/>
      <c r="J38" s="26"/>
      <c r="K38" s="3"/>
      <c r="L38" s="26"/>
    </row>
    <row r="39" spans="1:12" x14ac:dyDescent="0.2">
      <c r="A39" s="4"/>
      <c r="B39" s="26"/>
      <c r="C39" s="3"/>
      <c r="D39" s="26"/>
      <c r="E39" s="26"/>
      <c r="F39" s="26"/>
      <c r="G39" s="26"/>
      <c r="H39" s="26"/>
      <c r="I39" s="3"/>
      <c r="J39" s="26"/>
      <c r="K39" s="3"/>
      <c r="L39" s="26"/>
    </row>
    <row r="40" spans="1:12" x14ac:dyDescent="0.2">
      <c r="A40" s="4"/>
      <c r="B40" s="26"/>
      <c r="C40" s="3"/>
      <c r="D40" s="26"/>
      <c r="E40" s="26"/>
      <c r="F40" s="26"/>
      <c r="G40" s="26"/>
      <c r="H40" s="26"/>
      <c r="I40" s="3"/>
      <c r="J40" s="26"/>
      <c r="K40" s="3"/>
      <c r="L40" s="26"/>
    </row>
    <row r="41" spans="1:12" x14ac:dyDescent="0.2">
      <c r="A41" s="4"/>
      <c r="B41" s="26"/>
      <c r="C41" s="3"/>
      <c r="D41" s="26"/>
      <c r="E41" s="26"/>
      <c r="F41" s="26"/>
      <c r="G41" s="26"/>
      <c r="H41" s="26"/>
      <c r="I41" s="3"/>
      <c r="J41" s="26"/>
      <c r="K41" s="3"/>
      <c r="L41" s="26"/>
    </row>
    <row r="42" spans="1:12" x14ac:dyDescent="0.2">
      <c r="A42" s="4"/>
      <c r="B42" s="26"/>
      <c r="C42" s="3"/>
      <c r="D42" s="26"/>
      <c r="E42" s="26"/>
      <c r="F42" s="26"/>
      <c r="G42" s="26"/>
      <c r="H42" s="26"/>
      <c r="I42" s="3"/>
      <c r="J42" s="26"/>
      <c r="K42" s="3"/>
      <c r="L42" s="26"/>
    </row>
    <row r="43" spans="1:12" x14ac:dyDescent="0.2">
      <c r="A43" s="4"/>
      <c r="B43" s="26"/>
      <c r="C43" s="3"/>
      <c r="D43" s="26"/>
      <c r="E43" s="26"/>
      <c r="F43" s="26"/>
      <c r="G43" s="26"/>
      <c r="H43" s="26"/>
      <c r="I43" s="3"/>
      <c r="J43" s="26"/>
      <c r="K43" s="3"/>
      <c r="L43" s="26"/>
    </row>
    <row r="44" spans="1:12" x14ac:dyDescent="0.2">
      <c r="A44" s="4"/>
      <c r="B44" s="26"/>
      <c r="C44" s="3"/>
      <c r="D44" s="26"/>
      <c r="E44" s="26"/>
      <c r="F44" s="26"/>
      <c r="G44" s="26"/>
      <c r="H44" s="26"/>
      <c r="I44" s="3"/>
      <c r="J44" s="26"/>
      <c r="K44" s="3"/>
      <c r="L44" s="26"/>
    </row>
    <row r="45" spans="1:12" x14ac:dyDescent="0.2">
      <c r="A45" s="4"/>
      <c r="B45" s="26"/>
      <c r="C45" s="3"/>
      <c r="D45" s="26"/>
      <c r="E45" s="26"/>
      <c r="F45" s="26"/>
      <c r="G45" s="26"/>
      <c r="H45" s="26"/>
      <c r="I45" s="3"/>
      <c r="J45" s="26"/>
      <c r="K45" s="3"/>
      <c r="L45" s="26"/>
    </row>
    <row r="46" spans="1:12" x14ac:dyDescent="0.2">
      <c r="A46" s="4"/>
      <c r="B46" s="26"/>
      <c r="C46" s="3"/>
      <c r="D46" s="26"/>
      <c r="E46" s="26"/>
      <c r="F46" s="26"/>
      <c r="G46" s="26"/>
      <c r="H46" s="26"/>
      <c r="I46" s="3"/>
      <c r="J46" s="26"/>
      <c r="K46" s="3"/>
      <c r="L46" s="26"/>
    </row>
    <row r="47" spans="1:12" x14ac:dyDescent="0.2">
      <c r="A47" s="4"/>
      <c r="B47" s="26"/>
      <c r="C47" s="3"/>
      <c r="D47" s="26"/>
      <c r="E47" s="26"/>
      <c r="F47" s="26"/>
      <c r="G47" s="26"/>
      <c r="H47" s="26"/>
      <c r="I47" s="3"/>
      <c r="J47" s="26"/>
      <c r="K47" s="3"/>
      <c r="L47" s="26"/>
    </row>
    <row r="48" spans="1:12" x14ac:dyDescent="0.2">
      <c r="A48" s="4"/>
      <c r="B48" s="26"/>
      <c r="C48" s="3"/>
      <c r="D48" s="26"/>
      <c r="E48" s="26"/>
      <c r="F48" s="26"/>
      <c r="G48" s="26"/>
      <c r="H48" s="26"/>
      <c r="I48" s="3"/>
      <c r="J48" s="26"/>
      <c r="K48" s="3"/>
      <c r="L48" s="26"/>
    </row>
    <row r="49" spans="1:12" x14ac:dyDescent="0.2">
      <c r="A49" s="4"/>
      <c r="B49" s="26"/>
      <c r="C49" s="3"/>
      <c r="D49" s="26"/>
      <c r="E49" s="26"/>
      <c r="F49" s="26"/>
      <c r="G49" s="26"/>
      <c r="H49" s="26"/>
      <c r="I49" s="3"/>
      <c r="J49" s="26"/>
      <c r="K49" s="3"/>
      <c r="L49" s="26"/>
    </row>
    <row r="50" spans="1:12" x14ac:dyDescent="0.2">
      <c r="A50" s="4"/>
      <c r="B50" s="26"/>
      <c r="C50" s="3"/>
      <c r="D50" s="26"/>
      <c r="E50" s="26"/>
      <c r="F50" s="26"/>
      <c r="G50" s="26"/>
      <c r="H50" s="26"/>
      <c r="I50" s="3"/>
      <c r="J50" s="26"/>
      <c r="K50" s="3"/>
      <c r="L50" s="26"/>
    </row>
    <row r="51" spans="1:12" x14ac:dyDescent="0.2">
      <c r="A51" s="4"/>
      <c r="B51" s="26"/>
      <c r="C51" s="3"/>
      <c r="D51" s="26"/>
      <c r="E51" s="26"/>
      <c r="F51" s="26"/>
      <c r="G51" s="26"/>
      <c r="H51" s="26"/>
      <c r="I51" s="3"/>
      <c r="J51" s="26"/>
      <c r="K51" s="3"/>
      <c r="L51" s="26"/>
    </row>
    <row r="52" spans="1:12" x14ac:dyDescent="0.2">
      <c r="A52" s="4"/>
      <c r="B52" s="26"/>
      <c r="C52" s="3"/>
      <c r="D52" s="26"/>
      <c r="E52" s="26"/>
      <c r="F52" s="26"/>
      <c r="G52" s="26"/>
      <c r="H52" s="26"/>
      <c r="I52" s="3"/>
      <c r="J52" s="26"/>
      <c r="K52" s="3"/>
      <c r="L52" s="26"/>
    </row>
    <row r="53" spans="1:12" x14ac:dyDescent="0.2">
      <c r="A53" s="4"/>
      <c r="B53" s="26"/>
      <c r="C53" s="3"/>
      <c r="D53" s="26"/>
      <c r="E53" s="26"/>
      <c r="F53" s="26"/>
      <c r="G53" s="26"/>
      <c r="H53" s="26"/>
      <c r="I53" s="3"/>
      <c r="J53" s="26"/>
      <c r="K53" s="3"/>
      <c r="L53" s="26"/>
    </row>
    <row r="54" spans="1:12" x14ac:dyDescent="0.2">
      <c r="A54" s="4"/>
      <c r="B54" s="26"/>
      <c r="C54" s="3"/>
      <c r="D54" s="26"/>
      <c r="E54" s="26"/>
      <c r="F54" s="26"/>
      <c r="G54" s="26"/>
      <c r="H54" s="26"/>
      <c r="I54" s="3"/>
      <c r="J54" s="26"/>
      <c r="K54" s="3"/>
      <c r="L54" s="26"/>
    </row>
    <row r="55" spans="1:12" x14ac:dyDescent="0.2">
      <c r="A55" s="4"/>
      <c r="B55" s="26"/>
      <c r="C55" s="3"/>
      <c r="D55" s="26"/>
      <c r="E55" s="26"/>
      <c r="F55" s="26"/>
      <c r="G55" s="26"/>
      <c r="H55" s="26"/>
      <c r="I55" s="3"/>
      <c r="J55" s="26"/>
      <c r="K55" s="3"/>
      <c r="L55" s="26"/>
    </row>
    <row r="56" spans="1:12" x14ac:dyDescent="0.2">
      <c r="A56" s="4"/>
      <c r="B56" s="26"/>
      <c r="C56" s="3"/>
      <c r="D56" s="26"/>
      <c r="E56" s="26"/>
      <c r="F56" s="26"/>
      <c r="G56" s="26"/>
      <c r="H56" s="26"/>
      <c r="I56" s="3"/>
      <c r="J56" s="26"/>
      <c r="K56" s="3"/>
      <c r="L56" s="26"/>
    </row>
    <row r="57" spans="1:12" x14ac:dyDescent="0.2">
      <c r="A57" s="4"/>
      <c r="B57" s="26"/>
      <c r="C57" s="3"/>
      <c r="D57" s="26"/>
      <c r="E57" s="26"/>
      <c r="F57" s="26"/>
      <c r="G57" s="26"/>
      <c r="H57" s="26"/>
      <c r="I57" s="3"/>
      <c r="J57" s="26"/>
      <c r="K57" s="3"/>
      <c r="L57" s="26"/>
    </row>
    <row r="58" spans="1:12" x14ac:dyDescent="0.2">
      <c r="A58" s="4"/>
      <c r="B58" s="26"/>
      <c r="C58" s="3"/>
      <c r="D58" s="26"/>
      <c r="E58" s="26"/>
      <c r="F58" s="26"/>
      <c r="G58" s="26"/>
      <c r="H58" s="26"/>
      <c r="I58" s="3"/>
      <c r="J58" s="26"/>
      <c r="K58" s="3"/>
      <c r="L58" s="26"/>
    </row>
    <row r="59" spans="1:12" x14ac:dyDescent="0.2">
      <c r="A59" s="4"/>
      <c r="B59" s="26"/>
      <c r="C59" s="3"/>
      <c r="D59" s="26"/>
      <c r="E59" s="26"/>
      <c r="F59" s="26"/>
      <c r="G59" s="26"/>
      <c r="H59" s="26"/>
      <c r="I59" s="3"/>
      <c r="J59" s="26"/>
      <c r="K59" s="3"/>
      <c r="L59" s="26"/>
    </row>
    <row r="60" spans="1:12" x14ac:dyDescent="0.2">
      <c r="A60" s="4"/>
      <c r="B60" s="26"/>
      <c r="C60" s="3"/>
      <c r="D60" s="26"/>
      <c r="E60" s="26"/>
      <c r="F60" s="26"/>
      <c r="G60" s="26"/>
      <c r="H60" s="26"/>
      <c r="I60" s="3"/>
      <c r="J60" s="26"/>
      <c r="K60" s="3"/>
      <c r="L60" s="26"/>
    </row>
    <row r="61" spans="1:12" x14ac:dyDescent="0.2">
      <c r="A61" s="4"/>
      <c r="B61" s="26"/>
      <c r="C61" s="3"/>
      <c r="D61" s="26"/>
      <c r="E61" s="26"/>
      <c r="F61" s="26"/>
      <c r="G61" s="26"/>
      <c r="H61" s="26"/>
      <c r="I61" s="3"/>
      <c r="J61" s="26"/>
      <c r="K61" s="3"/>
      <c r="L61" s="26"/>
    </row>
    <row r="62" spans="1:12" x14ac:dyDescent="0.2">
      <c r="A62" s="4"/>
      <c r="B62" s="26"/>
      <c r="C62" s="3"/>
      <c r="D62" s="26"/>
      <c r="E62" s="26"/>
      <c r="F62" s="26"/>
      <c r="G62" s="26"/>
      <c r="H62" s="26"/>
      <c r="I62" s="3"/>
      <c r="J62" s="26"/>
      <c r="K62" s="3"/>
      <c r="L62" s="26"/>
    </row>
    <row r="63" spans="1:12" x14ac:dyDescent="0.2">
      <c r="A63" s="4"/>
      <c r="B63" s="26"/>
      <c r="C63" s="3"/>
      <c r="D63" s="26"/>
      <c r="E63" s="26"/>
      <c r="F63" s="26"/>
      <c r="G63" s="26"/>
      <c r="H63" s="26"/>
      <c r="I63" s="3"/>
      <c r="J63" s="26"/>
      <c r="K63" s="3"/>
      <c r="L63" s="26"/>
    </row>
    <row r="64" spans="1:12" x14ac:dyDescent="0.2">
      <c r="A64" s="4"/>
      <c r="B64" s="26"/>
      <c r="C64" s="3"/>
      <c r="D64" s="26"/>
      <c r="E64" s="26"/>
      <c r="F64" s="26"/>
      <c r="G64" s="26"/>
      <c r="H64" s="26"/>
      <c r="I64" s="3"/>
      <c r="J64" s="26"/>
      <c r="K64" s="3"/>
      <c r="L64" s="26"/>
    </row>
    <row r="65" spans="1:12" x14ac:dyDescent="0.2">
      <c r="A65" s="4"/>
      <c r="B65" s="26"/>
      <c r="C65" s="3"/>
      <c r="D65" s="26"/>
      <c r="E65" s="26"/>
      <c r="F65" s="26"/>
      <c r="G65" s="26"/>
      <c r="H65" s="26"/>
      <c r="I65" s="3"/>
      <c r="J65" s="26"/>
      <c r="K65" s="3"/>
      <c r="L65" s="26"/>
    </row>
    <row r="66" spans="1:12" x14ac:dyDescent="0.2">
      <c r="A66" s="4"/>
      <c r="B66" s="26"/>
      <c r="C66" s="3"/>
      <c r="D66" s="26"/>
      <c r="E66" s="26"/>
      <c r="F66" s="26"/>
      <c r="G66" s="26"/>
      <c r="H66" s="26"/>
      <c r="I66" s="3"/>
      <c r="J66" s="26"/>
      <c r="K66" s="3"/>
      <c r="L66" s="26"/>
    </row>
    <row r="67" spans="1:12" x14ac:dyDescent="0.2">
      <c r="A67" s="4"/>
      <c r="B67" s="26"/>
      <c r="C67" s="3"/>
      <c r="D67" s="26"/>
      <c r="E67" s="26"/>
      <c r="F67" s="26"/>
      <c r="G67" s="26"/>
      <c r="H67" s="26"/>
      <c r="I67" s="3"/>
      <c r="J67" s="26"/>
      <c r="K67" s="3"/>
      <c r="L67" s="26"/>
    </row>
    <row r="68" spans="1:12" x14ac:dyDescent="0.2">
      <c r="A68" s="4"/>
      <c r="B68" s="26"/>
      <c r="C68" s="3"/>
      <c r="D68" s="26"/>
      <c r="E68" s="26"/>
      <c r="F68" s="26"/>
      <c r="G68" s="26"/>
      <c r="H68" s="26"/>
      <c r="I68" s="3"/>
      <c r="J68" s="26"/>
      <c r="K68" s="3"/>
      <c r="L68" s="26"/>
    </row>
    <row r="69" spans="1:12" x14ac:dyDescent="0.2">
      <c r="A69" s="4"/>
      <c r="B69" s="26"/>
      <c r="C69" s="3"/>
      <c r="D69" s="26"/>
      <c r="E69" s="26"/>
      <c r="F69" s="26"/>
      <c r="G69" s="26"/>
      <c r="H69" s="26"/>
      <c r="I69" s="3"/>
      <c r="J69" s="26"/>
      <c r="K69" s="3"/>
      <c r="L69" s="26"/>
    </row>
    <row r="70" spans="1:12" x14ac:dyDescent="0.2">
      <c r="A70" s="5"/>
      <c r="B70" s="63"/>
      <c r="C70" s="58"/>
      <c r="D70" s="63"/>
      <c r="E70" s="63"/>
      <c r="F70" s="63"/>
      <c r="G70" s="63"/>
      <c r="H70" s="63"/>
      <c r="I70" s="58"/>
      <c r="J70" s="63"/>
      <c r="K70" s="58"/>
      <c r="L70" s="63"/>
    </row>
    <row r="74" spans="1:12" x14ac:dyDescent="0.2">
      <c r="A74" s="7" t="s">
        <v>16</v>
      </c>
      <c r="J74" s="7" t="s">
        <v>659</v>
      </c>
    </row>
    <row r="77" spans="1:12" x14ac:dyDescent="0.2">
      <c r="A77" s="1070" t="s">
        <v>809</v>
      </c>
      <c r="B77" s="1070"/>
      <c r="C77" s="1070"/>
      <c r="F77" s="1070"/>
      <c r="G77" s="1070"/>
      <c r="J77" s="1070" t="s">
        <v>1495</v>
      </c>
      <c r="K77" s="1070"/>
      <c r="L77" s="1070"/>
    </row>
    <row r="78" spans="1:12" x14ac:dyDescent="0.2">
      <c r="A78" s="1260" t="s">
        <v>248</v>
      </c>
      <c r="B78" s="1260"/>
      <c r="C78" s="1260"/>
      <c r="F78" s="1260"/>
      <c r="G78" s="1260"/>
      <c r="J78" s="1261" t="s">
        <v>14</v>
      </c>
      <c r="K78" s="1260"/>
      <c r="L78" s="1260"/>
    </row>
    <row r="93" spans="1:12" ht="20.100000000000001" customHeight="1" x14ac:dyDescent="0.35">
      <c r="A93" s="1258" t="s">
        <v>1015</v>
      </c>
      <c r="B93" s="1259"/>
      <c r="C93" s="1259"/>
      <c r="D93" s="1259"/>
      <c r="E93" s="1259"/>
      <c r="F93" s="1259"/>
      <c r="G93" s="1259"/>
      <c r="H93" s="1259"/>
      <c r="I93" s="1259"/>
      <c r="J93" s="1259"/>
      <c r="K93" s="1259"/>
      <c r="L93" s="1259"/>
    </row>
  </sheetData>
  <mergeCells count="13">
    <mergeCell ref="A93:L93"/>
    <mergeCell ref="A4:L4"/>
    <mergeCell ref="A5:L5"/>
    <mergeCell ref="F77:G77"/>
    <mergeCell ref="F78:G78"/>
    <mergeCell ref="J77:L77"/>
    <mergeCell ref="J78:L78"/>
    <mergeCell ref="A6:L6"/>
    <mergeCell ref="F10:H11"/>
    <mergeCell ref="I11:K11"/>
    <mergeCell ref="A78:C78"/>
    <mergeCell ref="A77:C77"/>
    <mergeCell ref="I10:K10"/>
  </mergeCells>
  <printOptions horizontalCentered="1"/>
  <pageMargins left="0.5" right="0" top="0.75" bottom="0" header="0" footer="0"/>
  <pageSetup paperSize="256"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5"/>
  <sheetViews>
    <sheetView topLeftCell="A86" workbookViewId="0">
      <selection activeCell="M74" sqref="M74"/>
    </sheetView>
  </sheetViews>
  <sheetFormatPr defaultRowHeight="12.75" x14ac:dyDescent="0.2"/>
  <cols>
    <col min="1" max="2" width="3.5703125" style="27" customWidth="1"/>
    <col min="3" max="3" width="1.85546875" style="27" customWidth="1"/>
    <col min="4" max="4" width="15.7109375" customWidth="1"/>
    <col min="5" max="5" width="21.85546875" customWidth="1"/>
    <col min="6" max="7" width="5" customWidth="1"/>
    <col min="8" max="8" width="19.140625" customWidth="1"/>
    <col min="9" max="9" width="29.5703125" customWidth="1"/>
  </cols>
  <sheetData>
    <row r="1" spans="1:9" x14ac:dyDescent="0.2">
      <c r="A1" s="92"/>
      <c r="B1" s="77"/>
      <c r="C1" s="77"/>
      <c r="D1" s="6"/>
      <c r="E1" s="6"/>
      <c r="F1" s="6"/>
      <c r="G1" s="6"/>
      <c r="H1" s="6"/>
      <c r="I1" s="51"/>
    </row>
    <row r="3" spans="1:9" x14ac:dyDescent="0.2">
      <c r="A3" s="1277" t="s">
        <v>1541</v>
      </c>
      <c r="B3" s="1277"/>
      <c r="C3" s="1277"/>
      <c r="D3" s="1277"/>
      <c r="E3" s="1277"/>
      <c r="F3" s="1277"/>
      <c r="G3" s="1277"/>
      <c r="H3" s="1277"/>
      <c r="I3" s="1277"/>
    </row>
    <row r="4" spans="1:9" x14ac:dyDescent="0.2">
      <c r="A4" s="1277" t="s">
        <v>364</v>
      </c>
      <c r="B4" s="1277"/>
      <c r="C4" s="1277"/>
      <c r="D4" s="1277"/>
      <c r="E4" s="1277"/>
      <c r="F4" s="1277"/>
      <c r="G4" s="1277"/>
      <c r="H4" s="1277"/>
      <c r="I4" s="1277"/>
    </row>
    <row r="5" spans="1:9" ht="13.5" thickBot="1" x14ac:dyDescent="0.25"/>
    <row r="6" spans="1:9" x14ac:dyDescent="0.2">
      <c r="A6" s="78"/>
      <c r="B6" s="84"/>
      <c r="C6" s="84"/>
      <c r="D6" s="73"/>
      <c r="E6" s="73"/>
      <c r="F6" s="73"/>
      <c r="G6" s="73"/>
      <c r="H6" s="73"/>
      <c r="I6" s="74"/>
    </row>
    <row r="7" spans="1:9" x14ac:dyDescent="0.2">
      <c r="A7" s="1282" t="s">
        <v>649</v>
      </c>
      <c r="B7" s="1083"/>
      <c r="C7" s="1083"/>
      <c r="D7" s="1083"/>
      <c r="E7" s="1083"/>
      <c r="F7" s="1083"/>
      <c r="G7" s="1083"/>
      <c r="H7" s="1083"/>
      <c r="I7" s="75" t="s">
        <v>660</v>
      </c>
    </row>
    <row r="8" spans="1:9" x14ac:dyDescent="0.2">
      <c r="A8" s="79"/>
      <c r="B8" s="85"/>
      <c r="C8" s="85"/>
      <c r="D8" s="61"/>
      <c r="E8" s="61"/>
      <c r="F8" s="61"/>
      <c r="G8" s="61"/>
      <c r="H8" s="61"/>
      <c r="I8" s="75"/>
    </row>
    <row r="9" spans="1:9" ht="13.5" thickBot="1" x14ac:dyDescent="0.25">
      <c r="A9" s="1274"/>
      <c r="B9" s="1275"/>
      <c r="C9" s="1275"/>
      <c r="D9" s="1275"/>
      <c r="E9" s="1275"/>
      <c r="F9" s="1275"/>
      <c r="G9" s="1275"/>
      <c r="H9" s="1276"/>
      <c r="I9" s="76"/>
    </row>
    <row r="10" spans="1:9" x14ac:dyDescent="0.2">
      <c r="A10" s="80"/>
      <c r="B10" s="86"/>
      <c r="C10" s="86"/>
      <c r="D10" s="3"/>
      <c r="E10" s="3"/>
      <c r="F10" s="3"/>
      <c r="G10" s="3"/>
      <c r="H10" s="3"/>
      <c r="I10" s="94"/>
    </row>
    <row r="11" spans="1:9" x14ac:dyDescent="0.2">
      <c r="A11" s="83" t="s">
        <v>661</v>
      </c>
      <c r="B11" s="87" t="s">
        <v>662</v>
      </c>
      <c r="C11" s="87"/>
      <c r="D11" s="3"/>
      <c r="E11" s="3"/>
      <c r="F11" s="3"/>
      <c r="G11" s="3"/>
      <c r="H11" s="3"/>
      <c r="I11" s="94"/>
    </row>
    <row r="12" spans="1:9" x14ac:dyDescent="0.2">
      <c r="A12" s="81"/>
      <c r="B12" s="89" t="s">
        <v>663</v>
      </c>
      <c r="C12" s="89"/>
      <c r="D12" s="18" t="s">
        <v>378</v>
      </c>
      <c r="E12" s="18"/>
      <c r="F12" s="18"/>
      <c r="G12" s="18"/>
      <c r="H12" s="18"/>
      <c r="I12" s="94">
        <f>'LBP NO. 1'!N104</f>
        <v>1000000</v>
      </c>
    </row>
    <row r="13" spans="1:9" x14ac:dyDescent="0.2">
      <c r="A13" s="81"/>
      <c r="B13" s="89" t="s">
        <v>664</v>
      </c>
      <c r="C13" s="86"/>
      <c r="D13" s="18" t="s">
        <v>665</v>
      </c>
      <c r="E13" s="18"/>
      <c r="F13" s="18"/>
      <c r="G13" s="18"/>
      <c r="H13" s="18"/>
      <c r="I13" s="94">
        <f>'LBP NO. 1'!N103</f>
        <v>120000</v>
      </c>
    </row>
    <row r="14" spans="1:9" x14ac:dyDescent="0.2">
      <c r="A14" s="81"/>
      <c r="B14" s="89" t="s">
        <v>666</v>
      </c>
      <c r="C14" s="86"/>
      <c r="D14" s="18" t="s">
        <v>555</v>
      </c>
      <c r="E14" s="18"/>
      <c r="F14" s="18"/>
      <c r="G14" s="18"/>
      <c r="H14" s="18"/>
      <c r="I14" s="94">
        <f>'LBP NO. 1'!N102</f>
        <v>705000</v>
      </c>
    </row>
    <row r="15" spans="1:9" x14ac:dyDescent="0.2">
      <c r="A15" s="81"/>
      <c r="B15" s="89" t="s">
        <v>667</v>
      </c>
      <c r="C15" s="86"/>
      <c r="D15" s="90" t="s">
        <v>554</v>
      </c>
      <c r="E15" s="90"/>
      <c r="F15" s="90"/>
      <c r="G15" s="90"/>
      <c r="H15" s="90"/>
      <c r="I15" s="94">
        <f>'LBP NO. 1'!N101</f>
        <v>180000</v>
      </c>
    </row>
    <row r="16" spans="1:9" x14ac:dyDescent="0.2">
      <c r="A16" s="81"/>
      <c r="B16" s="89" t="s">
        <v>668</v>
      </c>
      <c r="C16" s="86"/>
      <c r="D16" s="90" t="s">
        <v>669</v>
      </c>
      <c r="E16" s="90"/>
      <c r="F16" s="90"/>
      <c r="G16" s="90"/>
      <c r="H16" s="90"/>
      <c r="I16" s="95">
        <f>'LBP NO. 1'!N100</f>
        <v>4777900</v>
      </c>
    </row>
    <row r="17" spans="1:12" ht="13.5" thickBot="1" x14ac:dyDescent="0.25">
      <c r="A17" s="81"/>
      <c r="B17" s="89"/>
      <c r="C17" s="86"/>
      <c r="D17" s="90"/>
      <c r="E17" s="90"/>
      <c r="F17" s="90"/>
      <c r="G17" s="90"/>
      <c r="H17" s="96" t="s">
        <v>162</v>
      </c>
      <c r="I17" s="98">
        <f>SUM(I12:I16)</f>
        <v>6782900</v>
      </c>
    </row>
    <row r="18" spans="1:12" x14ac:dyDescent="0.2">
      <c r="A18" s="81"/>
      <c r="B18" s="89"/>
      <c r="C18" s="86"/>
      <c r="D18" s="90"/>
      <c r="E18" s="90"/>
      <c r="F18" s="90"/>
      <c r="G18" s="90"/>
      <c r="H18" s="90"/>
      <c r="I18" s="94"/>
    </row>
    <row r="19" spans="1:12" x14ac:dyDescent="0.2">
      <c r="A19" s="81"/>
      <c r="B19" s="86"/>
      <c r="C19" s="86"/>
      <c r="D19" s="3"/>
      <c r="E19" s="3"/>
      <c r="F19" s="3"/>
      <c r="G19" s="3"/>
      <c r="H19" s="3"/>
      <c r="I19" s="94"/>
    </row>
    <row r="20" spans="1:12" x14ac:dyDescent="0.2">
      <c r="A20" s="83" t="s">
        <v>303</v>
      </c>
      <c r="B20" s="87" t="s">
        <v>670</v>
      </c>
      <c r="C20" s="86"/>
      <c r="D20" s="3"/>
      <c r="E20" s="3"/>
      <c r="F20" s="3"/>
      <c r="G20" s="3"/>
      <c r="H20" s="3"/>
      <c r="I20" s="94"/>
    </row>
    <row r="21" spans="1:12" x14ac:dyDescent="0.2">
      <c r="A21" s="81"/>
      <c r="B21" s="89" t="s">
        <v>671</v>
      </c>
      <c r="C21" s="86"/>
      <c r="D21" s="91" t="s">
        <v>674</v>
      </c>
      <c r="E21" s="91"/>
      <c r="F21" s="91"/>
      <c r="G21" s="91"/>
      <c r="H21" s="91"/>
      <c r="I21" s="94">
        <f>'LBP NO. 1'!N136</f>
        <v>33000000</v>
      </c>
    </row>
    <row r="22" spans="1:12" x14ac:dyDescent="0.2">
      <c r="A22" s="81"/>
      <c r="B22" s="89" t="s">
        <v>672</v>
      </c>
      <c r="C22" s="86"/>
      <c r="D22" s="90" t="s">
        <v>855</v>
      </c>
      <c r="E22" s="91"/>
      <c r="F22" s="91"/>
      <c r="G22" s="91"/>
      <c r="H22" s="91"/>
      <c r="I22" s="94">
        <f>'LBP NO. 1'!N137</f>
        <v>8705600</v>
      </c>
    </row>
    <row r="23" spans="1:12" x14ac:dyDescent="0.2">
      <c r="A23" s="81"/>
      <c r="B23" s="89" t="s">
        <v>673</v>
      </c>
      <c r="C23" s="86"/>
      <c r="D23" s="90" t="s">
        <v>675</v>
      </c>
      <c r="E23" s="90"/>
      <c r="F23" s="90"/>
      <c r="G23" s="90"/>
      <c r="H23" s="90"/>
      <c r="I23" s="94">
        <f>'LBP NO. 2a'!K110</f>
        <v>21000</v>
      </c>
    </row>
    <row r="24" spans="1:12" x14ac:dyDescent="0.2">
      <c r="A24" s="81"/>
      <c r="B24" s="89" t="s">
        <v>854</v>
      </c>
      <c r="C24" s="86"/>
      <c r="D24" s="90" t="s">
        <v>569</v>
      </c>
      <c r="E24" s="90"/>
      <c r="F24" s="90"/>
      <c r="G24" s="90"/>
      <c r="H24" s="90"/>
      <c r="I24" s="94">
        <f>'LBP NO. 1'!N126</f>
        <v>69366</v>
      </c>
    </row>
    <row r="25" spans="1:12" ht="13.5" thickBot="1" x14ac:dyDescent="0.25">
      <c r="A25" s="81"/>
      <c r="B25" s="89"/>
      <c r="C25" s="86"/>
      <c r="D25" s="90"/>
      <c r="E25" s="90"/>
      <c r="F25" s="90"/>
      <c r="G25" s="90"/>
      <c r="H25" s="96" t="s">
        <v>162</v>
      </c>
      <c r="I25" s="98">
        <f>SUM(I21:I24)</f>
        <v>41795966</v>
      </c>
    </row>
    <row r="26" spans="1:12" x14ac:dyDescent="0.2">
      <c r="A26" s="81"/>
      <c r="B26" s="89"/>
      <c r="C26" s="86"/>
      <c r="D26" s="90"/>
      <c r="E26" s="90"/>
      <c r="F26" s="90"/>
      <c r="G26" s="90"/>
      <c r="H26" s="90"/>
      <c r="I26" s="94"/>
    </row>
    <row r="27" spans="1:12" x14ac:dyDescent="0.2">
      <c r="A27" s="81"/>
      <c r="B27" s="89"/>
      <c r="C27" s="86"/>
      <c r="D27" s="90"/>
      <c r="E27" s="90"/>
      <c r="F27" s="90"/>
      <c r="G27" s="90"/>
      <c r="H27" s="90"/>
      <c r="I27" s="94"/>
    </row>
    <row r="28" spans="1:12" x14ac:dyDescent="0.2">
      <c r="A28" s="81"/>
      <c r="B28" s="89"/>
      <c r="C28" s="86"/>
      <c r="D28" s="90"/>
      <c r="E28" s="90"/>
      <c r="F28" s="90"/>
      <c r="G28" s="90"/>
      <c r="H28" s="90"/>
      <c r="I28" s="95"/>
    </row>
    <row r="29" spans="1:12" ht="13.5" thickBot="1" x14ac:dyDescent="0.25">
      <c r="A29" s="81"/>
      <c r="B29" s="89"/>
      <c r="C29" s="86"/>
      <c r="D29" s="90"/>
      <c r="E29" s="90"/>
      <c r="F29" s="90"/>
      <c r="G29" s="90"/>
      <c r="H29" s="96" t="s">
        <v>15</v>
      </c>
      <c r="I29" s="99">
        <f>I25+I17</f>
        <v>48578866</v>
      </c>
      <c r="L29" s="29"/>
    </row>
    <row r="30" spans="1:12" ht="13.5" thickTop="1" x14ac:dyDescent="0.2">
      <c r="A30" s="82"/>
      <c r="B30" s="88"/>
      <c r="C30" s="88"/>
      <c r="D30" s="58"/>
      <c r="E30" s="58"/>
      <c r="F30" s="58"/>
      <c r="G30" s="58"/>
      <c r="H30" s="58"/>
      <c r="I30" s="95"/>
    </row>
    <row r="32" spans="1:12" x14ac:dyDescent="0.2">
      <c r="A32" s="92" t="s">
        <v>16</v>
      </c>
    </row>
    <row r="35" spans="1:9" s="7" customFormat="1" x14ac:dyDescent="0.2">
      <c r="A35" s="1277" t="s">
        <v>17</v>
      </c>
      <c r="B35" s="1277"/>
      <c r="C35" s="1277"/>
      <c r="D35" s="1277"/>
      <c r="E35" s="9"/>
      <c r="F35" s="2" t="s">
        <v>91</v>
      </c>
      <c r="G35" s="2"/>
      <c r="H35"/>
      <c r="I35" s="2" t="s">
        <v>260</v>
      </c>
    </row>
    <row r="36" spans="1:9" x14ac:dyDescent="0.2">
      <c r="A36" s="1281" t="s">
        <v>18</v>
      </c>
      <c r="B36" s="1281"/>
      <c r="C36" s="1281"/>
      <c r="D36" s="1281"/>
      <c r="E36" s="8"/>
      <c r="F36" s="270" t="s">
        <v>1021</v>
      </c>
      <c r="G36" s="47"/>
      <c r="I36" s="47" t="s">
        <v>13</v>
      </c>
    </row>
    <row r="39" spans="1:9" x14ac:dyDescent="0.2">
      <c r="A39" s="92" t="s">
        <v>264</v>
      </c>
    </row>
    <row r="40" spans="1:9" x14ac:dyDescent="0.2">
      <c r="A40" s="77"/>
    </row>
    <row r="42" spans="1:9" x14ac:dyDescent="0.2">
      <c r="A42" s="1277" t="s">
        <v>1495</v>
      </c>
      <c r="B42" s="1277"/>
      <c r="C42" s="1277"/>
      <c r="D42" s="1277"/>
      <c r="E42" s="1277"/>
    </row>
    <row r="43" spans="1:9" x14ac:dyDescent="0.2">
      <c r="A43" s="1283" t="s">
        <v>14</v>
      </c>
      <c r="B43" s="1281"/>
      <c r="C43" s="1281"/>
      <c r="D43" s="1281"/>
      <c r="E43" s="1281"/>
    </row>
    <row r="44" spans="1:9" x14ac:dyDescent="0.2">
      <c r="A44" s="107"/>
      <c r="B44" s="107"/>
      <c r="C44" s="107"/>
      <c r="D44" s="107"/>
      <c r="E44" s="107"/>
    </row>
    <row r="45" spans="1:9" x14ac:dyDescent="0.2">
      <c r="A45" s="107"/>
      <c r="B45" s="107"/>
      <c r="C45" s="107"/>
      <c r="D45" s="107"/>
      <c r="E45" s="107"/>
    </row>
    <row r="46" spans="1:9" x14ac:dyDescent="0.2">
      <c r="A46" s="271"/>
      <c r="B46" s="271"/>
      <c r="C46" s="271"/>
      <c r="D46" s="271"/>
      <c r="E46" s="271"/>
    </row>
    <row r="47" spans="1:9" x14ac:dyDescent="0.2">
      <c r="A47" s="271"/>
      <c r="B47" s="271"/>
      <c r="C47" s="271"/>
      <c r="D47" s="271"/>
      <c r="E47" s="271"/>
    </row>
    <row r="48" spans="1:9" x14ac:dyDescent="0.2">
      <c r="A48" s="271"/>
      <c r="B48" s="271"/>
      <c r="C48" s="271"/>
      <c r="D48" s="271"/>
      <c r="E48" s="271"/>
    </row>
    <row r="49" spans="1:5" x14ac:dyDescent="0.2">
      <c r="A49" s="271"/>
      <c r="B49" s="271"/>
      <c r="C49" s="271"/>
      <c r="D49" s="271"/>
      <c r="E49" s="271"/>
    </row>
    <row r="50" spans="1:5" x14ac:dyDescent="0.2">
      <c r="A50" s="271"/>
      <c r="B50" s="271"/>
      <c r="C50" s="271"/>
      <c r="D50" s="271"/>
      <c r="E50" s="271"/>
    </row>
    <row r="51" spans="1:5" x14ac:dyDescent="0.2">
      <c r="A51" s="271"/>
      <c r="B51" s="271"/>
      <c r="C51" s="271"/>
      <c r="D51" s="271"/>
      <c r="E51" s="271"/>
    </row>
    <row r="52" spans="1:5" x14ac:dyDescent="0.2">
      <c r="A52" s="271"/>
      <c r="B52" s="271"/>
      <c r="C52" s="271"/>
      <c r="D52" s="271"/>
      <c r="E52" s="271"/>
    </row>
    <row r="53" spans="1:5" x14ac:dyDescent="0.2">
      <c r="A53" s="271"/>
      <c r="B53" s="271"/>
      <c r="C53" s="271"/>
      <c r="D53" s="271"/>
      <c r="E53" s="271"/>
    </row>
    <row r="54" spans="1:5" x14ac:dyDescent="0.2">
      <c r="A54" s="271"/>
      <c r="B54" s="271"/>
      <c r="C54" s="271"/>
      <c r="D54" s="271"/>
      <c r="E54" s="271"/>
    </row>
    <row r="55" spans="1:5" x14ac:dyDescent="0.2">
      <c r="A55" s="271"/>
      <c r="B55" s="271"/>
      <c r="C55" s="271"/>
      <c r="D55" s="271"/>
      <c r="E55" s="271"/>
    </row>
    <row r="56" spans="1:5" x14ac:dyDescent="0.2">
      <c r="A56" s="271"/>
      <c r="B56" s="271"/>
      <c r="C56" s="271"/>
      <c r="D56" s="271"/>
      <c r="E56" s="271"/>
    </row>
    <row r="57" spans="1:5" x14ac:dyDescent="0.2">
      <c r="A57" s="271"/>
      <c r="B57" s="271"/>
      <c r="C57" s="271"/>
      <c r="D57" s="271"/>
      <c r="E57" s="271"/>
    </row>
    <row r="58" spans="1:5" x14ac:dyDescent="0.2">
      <c r="A58" s="271"/>
      <c r="B58" s="271"/>
      <c r="C58" s="271"/>
      <c r="D58" s="271"/>
      <c r="E58" s="271"/>
    </row>
    <row r="59" spans="1:5" x14ac:dyDescent="0.2">
      <c r="A59" s="271"/>
      <c r="B59" s="271"/>
      <c r="C59" s="271"/>
      <c r="D59" s="271"/>
      <c r="E59" s="271"/>
    </row>
    <row r="60" spans="1:5" x14ac:dyDescent="0.2">
      <c r="A60" s="271"/>
      <c r="B60" s="271"/>
      <c r="C60" s="271"/>
      <c r="D60" s="271"/>
      <c r="E60" s="271"/>
    </row>
    <row r="61" spans="1:5" x14ac:dyDescent="0.2">
      <c r="A61" s="107"/>
      <c r="B61" s="107"/>
      <c r="C61" s="107"/>
      <c r="D61" s="107"/>
      <c r="E61" s="107"/>
    </row>
    <row r="62" spans="1:5" x14ac:dyDescent="0.2">
      <c r="A62" s="107"/>
      <c r="B62" s="107"/>
      <c r="C62" s="107"/>
      <c r="D62" s="107"/>
      <c r="E62" s="107"/>
    </row>
    <row r="63" spans="1:5" x14ac:dyDescent="0.2">
      <c r="A63" s="107"/>
      <c r="B63" s="107"/>
      <c r="C63" s="107"/>
      <c r="D63" s="107"/>
      <c r="E63" s="107"/>
    </row>
    <row r="64" spans="1:5" x14ac:dyDescent="0.2">
      <c r="A64" s="107"/>
      <c r="B64" s="107"/>
      <c r="C64" s="107"/>
      <c r="D64" s="107"/>
      <c r="E64" s="107"/>
    </row>
    <row r="65" spans="1:9" x14ac:dyDescent="0.2">
      <c r="A65" s="107"/>
      <c r="B65" s="107"/>
      <c r="C65" s="107"/>
      <c r="D65" s="107"/>
      <c r="E65" s="107"/>
    </row>
    <row r="66" spans="1:9" x14ac:dyDescent="0.2">
      <c r="A66" s="107"/>
      <c r="B66" s="107"/>
      <c r="C66" s="107"/>
      <c r="D66" s="107"/>
      <c r="E66" s="107"/>
    </row>
    <row r="67" spans="1:9" x14ac:dyDescent="0.2">
      <c r="A67" s="107"/>
      <c r="B67" s="107"/>
      <c r="C67" s="107"/>
      <c r="D67" s="107"/>
      <c r="E67" s="107"/>
    </row>
    <row r="68" spans="1:9" x14ac:dyDescent="0.2">
      <c r="A68" s="107"/>
      <c r="B68" s="107"/>
      <c r="C68" s="107"/>
      <c r="D68" s="107"/>
      <c r="E68" s="107"/>
    </row>
    <row r="69" spans="1:9" ht="20.100000000000001" customHeight="1" x14ac:dyDescent="0.35">
      <c r="A69" s="1278" t="s">
        <v>1016</v>
      </c>
      <c r="B69" s="1279"/>
      <c r="C69" s="1279"/>
      <c r="D69" s="1279"/>
      <c r="E69" s="1279"/>
      <c r="F69" s="1279"/>
      <c r="G69" s="1279"/>
      <c r="H69" s="1279"/>
      <c r="I69" s="1279"/>
    </row>
    <row r="70" spans="1:9" x14ac:dyDescent="0.2">
      <c r="A70" s="92"/>
      <c r="B70" s="77"/>
      <c r="C70" s="77"/>
      <c r="D70" s="6"/>
      <c r="E70" s="6"/>
      <c r="F70" s="6"/>
      <c r="G70" s="6"/>
      <c r="H70" s="6"/>
      <c r="I70" s="51"/>
    </row>
    <row r="72" spans="1:9" x14ac:dyDescent="0.2">
      <c r="A72" s="1277" t="s">
        <v>1541</v>
      </c>
      <c r="B72" s="1277"/>
      <c r="C72" s="1277"/>
      <c r="D72" s="1277"/>
      <c r="E72" s="1277"/>
      <c r="F72" s="1277"/>
      <c r="G72" s="1277"/>
      <c r="H72" s="1277"/>
      <c r="I72" s="1277"/>
    </row>
    <row r="73" spans="1:9" x14ac:dyDescent="0.2">
      <c r="A73" s="1277" t="s">
        <v>364</v>
      </c>
      <c r="B73" s="1277"/>
      <c r="C73" s="1277"/>
      <c r="D73" s="1277"/>
      <c r="E73" s="1277"/>
      <c r="F73" s="1277"/>
      <c r="G73" s="1277"/>
      <c r="H73" s="1277"/>
      <c r="I73" s="1277"/>
    </row>
    <row r="74" spans="1:9" x14ac:dyDescent="0.2">
      <c r="A74" s="93"/>
      <c r="B74" s="93"/>
      <c r="C74" s="93"/>
      <c r="D74" s="93"/>
      <c r="E74" s="93"/>
      <c r="F74" s="93"/>
      <c r="G74" s="93"/>
      <c r="H74" s="93"/>
      <c r="I74" s="93"/>
    </row>
    <row r="75" spans="1:9" x14ac:dyDescent="0.2">
      <c r="A75" s="1277" t="s">
        <v>10</v>
      </c>
      <c r="B75" s="1277"/>
      <c r="C75" s="1277"/>
      <c r="D75" s="1277"/>
      <c r="E75" s="1277"/>
      <c r="F75" s="1277"/>
      <c r="G75" s="1277"/>
      <c r="H75" s="1277"/>
      <c r="I75" s="1277"/>
    </row>
    <row r="76" spans="1:9" ht="13.5" thickBot="1" x14ac:dyDescent="0.25"/>
    <row r="77" spans="1:9" x14ac:dyDescent="0.2">
      <c r="A77" s="78"/>
      <c r="B77" s="84"/>
      <c r="C77" s="84"/>
      <c r="D77" s="73"/>
      <c r="E77" s="73"/>
      <c r="F77" s="73"/>
      <c r="G77" s="73"/>
      <c r="H77" s="73"/>
      <c r="I77" s="74"/>
    </row>
    <row r="78" spans="1:9" x14ac:dyDescent="0.2">
      <c r="A78" s="1282" t="s">
        <v>649</v>
      </c>
      <c r="B78" s="1083"/>
      <c r="C78" s="1083"/>
      <c r="D78" s="1083"/>
      <c r="E78" s="1083"/>
      <c r="F78" s="1083"/>
      <c r="G78" s="1083"/>
      <c r="H78" s="1083"/>
      <c r="I78" s="75" t="s">
        <v>660</v>
      </c>
    </row>
    <row r="79" spans="1:9" x14ac:dyDescent="0.2">
      <c r="A79" s="79"/>
      <c r="B79" s="85"/>
      <c r="C79" s="85"/>
      <c r="D79" s="61"/>
      <c r="E79" s="61"/>
      <c r="F79" s="61"/>
      <c r="G79" s="61"/>
      <c r="H79" s="61"/>
      <c r="I79" s="75"/>
    </row>
    <row r="80" spans="1:9" ht="13.5" thickBot="1" x14ac:dyDescent="0.25">
      <c r="A80" s="1274"/>
      <c r="B80" s="1275"/>
      <c r="C80" s="1275"/>
      <c r="D80" s="1275"/>
      <c r="E80" s="1275"/>
      <c r="F80" s="1275"/>
      <c r="G80" s="1275"/>
      <c r="H80" s="1276"/>
      <c r="I80" s="76"/>
    </row>
    <row r="81" spans="1:9" x14ac:dyDescent="0.2">
      <c r="A81" s="80"/>
      <c r="B81" s="86"/>
      <c r="C81" s="86"/>
      <c r="D81" s="3"/>
      <c r="E81" s="3"/>
      <c r="F81" s="3"/>
      <c r="G81" s="3"/>
      <c r="H81" s="3"/>
      <c r="I81" s="94"/>
    </row>
    <row r="82" spans="1:9" x14ac:dyDescent="0.2">
      <c r="A82" s="83" t="s">
        <v>661</v>
      </c>
      <c r="B82" s="87" t="s">
        <v>662</v>
      </c>
      <c r="C82" s="87"/>
      <c r="D82" s="3"/>
      <c r="E82" s="3"/>
      <c r="F82" s="3"/>
      <c r="G82" s="3"/>
      <c r="H82" s="3"/>
      <c r="I82" s="94"/>
    </row>
    <row r="83" spans="1:9" x14ac:dyDescent="0.2">
      <c r="A83" s="81"/>
      <c r="B83" s="89" t="s">
        <v>663</v>
      </c>
      <c r="C83" s="89"/>
      <c r="D83" s="18" t="s">
        <v>378</v>
      </c>
      <c r="E83" s="18"/>
      <c r="F83" s="18"/>
      <c r="G83" s="18"/>
      <c r="H83" s="18"/>
      <c r="I83" s="94">
        <f>'LBP NO. 1'!N318</f>
        <v>0</v>
      </c>
    </row>
    <row r="84" spans="1:9" x14ac:dyDescent="0.2">
      <c r="A84" s="81"/>
      <c r="B84" s="89" t="s">
        <v>664</v>
      </c>
      <c r="C84" s="86"/>
      <c r="D84" s="18" t="s">
        <v>665</v>
      </c>
      <c r="E84" s="18"/>
      <c r="F84" s="18"/>
      <c r="G84" s="18"/>
      <c r="H84" s="18"/>
      <c r="I84" s="94">
        <f>'[1]LBP NO. 2'!M988</f>
        <v>40800</v>
      </c>
    </row>
    <row r="85" spans="1:9" x14ac:dyDescent="0.2">
      <c r="A85" s="81"/>
      <c r="B85" s="89" t="s">
        <v>666</v>
      </c>
      <c r="C85" s="86"/>
      <c r="D85" s="18" t="s">
        <v>555</v>
      </c>
      <c r="E85" s="18"/>
      <c r="F85" s="18"/>
      <c r="G85" s="18"/>
      <c r="H85" s="18"/>
      <c r="I85" s="94">
        <f>'LBP NO. 1'!N316</f>
        <v>111300</v>
      </c>
    </row>
    <row r="86" spans="1:9" x14ac:dyDescent="0.2">
      <c r="A86" s="81"/>
      <c r="B86" s="89" t="s">
        <v>667</v>
      </c>
      <c r="C86" s="86"/>
      <c r="D86" s="90" t="s">
        <v>554</v>
      </c>
      <c r="E86" s="90"/>
      <c r="F86" s="90"/>
      <c r="G86" s="90"/>
      <c r="H86" s="90"/>
      <c r="I86" s="94">
        <f>'[1]LBP NO. 2'!M986</f>
        <v>61200</v>
      </c>
    </row>
    <row r="87" spans="1:9" x14ac:dyDescent="0.2">
      <c r="A87" s="81"/>
      <c r="B87" s="89" t="s">
        <v>668</v>
      </c>
      <c r="C87" s="86"/>
      <c r="D87" s="90" t="s">
        <v>669</v>
      </c>
      <c r="E87" s="90"/>
      <c r="F87" s="90"/>
      <c r="G87" s="90"/>
      <c r="H87" s="90"/>
      <c r="I87" s="95">
        <f>'LBP NO. 1'!N314</f>
        <v>604400</v>
      </c>
    </row>
    <row r="88" spans="1:9" x14ac:dyDescent="0.2">
      <c r="A88" s="81"/>
      <c r="B88" s="89"/>
      <c r="C88" s="86"/>
      <c r="D88" s="90"/>
      <c r="E88" s="90"/>
      <c r="F88" s="90"/>
      <c r="G88" s="90"/>
      <c r="H88" s="96" t="s">
        <v>162</v>
      </c>
      <c r="I88" s="97">
        <f>SUM(I83:I87)</f>
        <v>817700</v>
      </c>
    </row>
    <row r="89" spans="1:9" x14ac:dyDescent="0.2">
      <c r="A89" s="81"/>
      <c r="B89" s="89"/>
      <c r="C89" s="86"/>
      <c r="D89" s="90"/>
      <c r="E89" s="90"/>
      <c r="F89" s="90"/>
      <c r="G89" s="90"/>
      <c r="H89" s="90"/>
      <c r="I89" s="94"/>
    </row>
    <row r="90" spans="1:9" x14ac:dyDescent="0.2">
      <c r="A90" s="83" t="s">
        <v>303</v>
      </c>
      <c r="B90" s="87" t="s">
        <v>670</v>
      </c>
      <c r="C90" s="86"/>
      <c r="D90" s="3"/>
      <c r="E90" s="3"/>
      <c r="F90" s="3"/>
      <c r="G90" s="3"/>
      <c r="H90" s="3"/>
      <c r="I90" s="94"/>
    </row>
    <row r="91" spans="1:9" x14ac:dyDescent="0.2">
      <c r="A91" s="81"/>
      <c r="B91" s="89" t="s">
        <v>671</v>
      </c>
      <c r="C91" s="86"/>
      <c r="D91" s="90" t="s">
        <v>855</v>
      </c>
      <c r="E91" s="91"/>
      <c r="F91" s="91"/>
      <c r="G91" s="91"/>
      <c r="H91" s="91"/>
      <c r="I91" s="95">
        <f>'LBP NO. 1'!N344</f>
        <v>0</v>
      </c>
    </row>
    <row r="92" spans="1:9" x14ac:dyDescent="0.2">
      <c r="A92" s="81"/>
      <c r="B92" s="89"/>
      <c r="C92" s="86"/>
      <c r="D92" s="90"/>
      <c r="E92" s="91"/>
      <c r="F92" s="91"/>
      <c r="G92" s="91"/>
      <c r="H92" s="96" t="s">
        <v>162</v>
      </c>
      <c r="I92" s="97">
        <f>I91</f>
        <v>0</v>
      </c>
    </row>
    <row r="93" spans="1:9" x14ac:dyDescent="0.2">
      <c r="A93" s="81"/>
      <c r="B93" s="89"/>
      <c r="C93" s="86"/>
      <c r="D93" s="90"/>
      <c r="E93" s="91"/>
      <c r="F93" s="91"/>
      <c r="G93" s="91"/>
      <c r="H93" s="91"/>
      <c r="I93" s="94"/>
    </row>
    <row r="94" spans="1:9" x14ac:dyDescent="0.2">
      <c r="A94" s="81"/>
      <c r="B94" s="89"/>
      <c r="C94" s="86"/>
      <c r="D94" s="90"/>
      <c r="E94" s="91"/>
      <c r="F94" s="91"/>
      <c r="G94" s="91"/>
      <c r="H94" s="91"/>
      <c r="I94" s="94"/>
    </row>
    <row r="95" spans="1:9" ht="13.5" thickBot="1" x14ac:dyDescent="0.25">
      <c r="A95" s="81"/>
      <c r="B95" s="89"/>
      <c r="C95" s="86"/>
      <c r="D95" s="90"/>
      <c r="E95" s="91"/>
      <c r="F95" s="91"/>
      <c r="G95" s="91"/>
      <c r="H95" s="96" t="s">
        <v>15</v>
      </c>
      <c r="I95" s="99">
        <f>I92+I88</f>
        <v>817700</v>
      </c>
    </row>
    <row r="96" spans="1:9" ht="13.5" thickTop="1" x14ac:dyDescent="0.2">
      <c r="A96" s="82"/>
      <c r="B96" s="88"/>
      <c r="C96" s="88"/>
      <c r="D96" s="58"/>
      <c r="E96" s="58"/>
      <c r="F96" s="58"/>
      <c r="G96" s="58"/>
      <c r="H96" s="58"/>
      <c r="I96" s="95"/>
    </row>
    <row r="98" spans="1:9" x14ac:dyDescent="0.2">
      <c r="A98" s="92" t="s">
        <v>16</v>
      </c>
    </row>
    <row r="101" spans="1:9" x14ac:dyDescent="0.2">
      <c r="A101" s="1277" t="s">
        <v>17</v>
      </c>
      <c r="B101" s="1277"/>
      <c r="C101" s="1277"/>
      <c r="D101" s="1277"/>
      <c r="E101" s="9"/>
      <c r="F101" s="2" t="s">
        <v>91</v>
      </c>
      <c r="G101" s="2"/>
      <c r="I101" s="2" t="s">
        <v>260</v>
      </c>
    </row>
    <row r="102" spans="1:9" x14ac:dyDescent="0.2">
      <c r="A102" s="1281" t="s">
        <v>18</v>
      </c>
      <c r="B102" s="1281"/>
      <c r="C102" s="1281"/>
      <c r="D102" s="1281"/>
      <c r="E102" s="8"/>
      <c r="F102" s="270" t="s">
        <v>1021</v>
      </c>
      <c r="G102" s="47"/>
      <c r="I102" s="47" t="s">
        <v>13</v>
      </c>
    </row>
    <row r="105" spans="1:9" x14ac:dyDescent="0.2">
      <c r="A105" s="92" t="s">
        <v>264</v>
      </c>
    </row>
    <row r="106" spans="1:9" x14ac:dyDescent="0.2">
      <c r="A106" s="77"/>
    </row>
    <row r="108" spans="1:9" x14ac:dyDescent="0.2">
      <c r="A108" s="1277" t="s">
        <v>1495</v>
      </c>
      <c r="B108" s="1277"/>
      <c r="C108" s="1277"/>
      <c r="D108" s="1277"/>
      <c r="E108" s="1277"/>
    </row>
    <row r="109" spans="1:9" x14ac:dyDescent="0.2">
      <c r="A109" s="1283" t="s">
        <v>14</v>
      </c>
      <c r="B109" s="1281"/>
      <c r="C109" s="1281"/>
      <c r="D109" s="1281"/>
      <c r="E109" s="1281"/>
    </row>
    <row r="139" spans="1:9" ht="20.100000000000001" customHeight="1" x14ac:dyDescent="0.35">
      <c r="A139" s="1278" t="s">
        <v>1024</v>
      </c>
      <c r="B139" s="1279"/>
      <c r="C139" s="1279"/>
      <c r="D139" s="1279"/>
      <c r="E139" s="1279"/>
      <c r="F139" s="1279"/>
      <c r="G139" s="1279"/>
      <c r="H139" s="1279"/>
      <c r="I139" s="1279"/>
    </row>
    <row r="155" spans="1:9" ht="20.25" x14ac:dyDescent="0.3">
      <c r="A155" s="1280"/>
      <c r="B155" s="1280"/>
      <c r="C155" s="1280"/>
      <c r="D155" s="1280"/>
      <c r="E155" s="1280"/>
      <c r="F155" s="1280"/>
      <c r="G155" s="1280"/>
      <c r="H155" s="1280"/>
      <c r="I155" s="1280"/>
    </row>
  </sheetData>
  <mergeCells count="20">
    <mergeCell ref="A3:I3"/>
    <mergeCell ref="A4:I4"/>
    <mergeCell ref="A9:H9"/>
    <mergeCell ref="A72:I72"/>
    <mergeCell ref="A73:I73"/>
    <mergeCell ref="A7:H7"/>
    <mergeCell ref="A35:D35"/>
    <mergeCell ref="A36:D36"/>
    <mergeCell ref="A69:I69"/>
    <mergeCell ref="A42:E42"/>
    <mergeCell ref="A43:E43"/>
    <mergeCell ref="A80:H80"/>
    <mergeCell ref="A101:D101"/>
    <mergeCell ref="A75:I75"/>
    <mergeCell ref="A139:I139"/>
    <mergeCell ref="A155:I155"/>
    <mergeCell ref="A102:D102"/>
    <mergeCell ref="A78:H78"/>
    <mergeCell ref="A108:E108"/>
    <mergeCell ref="A109:E109"/>
  </mergeCells>
  <printOptions horizontalCentered="1"/>
  <pageMargins left="0.5" right="0" top="1.5" bottom="0" header="0" footer="0"/>
  <pageSetup paperSize="256"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A156"/>
  <sheetViews>
    <sheetView topLeftCell="G41" workbookViewId="0">
      <selection activeCell="N79" sqref="N79"/>
    </sheetView>
  </sheetViews>
  <sheetFormatPr defaultColWidth="12.140625" defaultRowHeight="15.75" x14ac:dyDescent="0.25"/>
  <cols>
    <col min="1" max="1" width="45.7109375" style="274" customWidth="1"/>
    <col min="2" max="2" width="16.7109375" style="274" customWidth="1"/>
    <col min="3" max="3" width="14.7109375" style="274" customWidth="1"/>
    <col min="4" max="6" width="13.85546875" style="274" hidden="1" customWidth="1"/>
    <col min="7" max="7" width="13.5703125" style="274" customWidth="1"/>
    <col min="8" max="9" width="13.85546875" style="274" hidden="1" customWidth="1"/>
    <col min="10" max="11" width="12.5703125" style="274" customWidth="1"/>
    <col min="12" max="12" width="15.42578125" style="274" customWidth="1"/>
    <col min="13" max="13" width="13.28515625" style="274" customWidth="1"/>
    <col min="14" max="14" width="45" style="274" customWidth="1"/>
    <col min="15" max="15" width="18.28515625" style="274" customWidth="1"/>
    <col min="16" max="16" width="10.42578125" style="274" customWidth="1"/>
    <col min="17" max="17" width="7.5703125" style="274" customWidth="1"/>
    <col min="18" max="18" width="29.5703125" style="274" customWidth="1"/>
    <col min="19" max="19" width="4.85546875" style="274" customWidth="1"/>
    <col min="20" max="16384" width="12.140625" style="274"/>
  </cols>
  <sheetData>
    <row r="1" spans="1:20" x14ac:dyDescent="0.25">
      <c r="A1" s="1285" t="s">
        <v>1542</v>
      </c>
      <c r="B1" s="1285"/>
      <c r="C1" s="1285"/>
      <c r="D1" s="1285"/>
      <c r="E1" s="1285"/>
      <c r="F1" s="1285"/>
      <c r="G1" s="1285"/>
      <c r="H1" s="1285"/>
      <c r="I1" s="1285"/>
      <c r="J1" s="1285"/>
      <c r="K1" s="1285"/>
      <c r="L1" s="1285"/>
    </row>
    <row r="2" spans="1:20" x14ac:dyDescent="0.25">
      <c r="A2" s="1285" t="s">
        <v>364</v>
      </c>
      <c r="B2" s="1285"/>
      <c r="C2" s="1285"/>
      <c r="D2" s="1285"/>
      <c r="E2" s="1285"/>
      <c r="F2" s="1285"/>
      <c r="G2" s="1285"/>
      <c r="H2" s="1285"/>
      <c r="I2" s="1285"/>
      <c r="J2" s="1285"/>
      <c r="K2" s="1285"/>
      <c r="L2" s="1285"/>
    </row>
    <row r="3" spans="1:20" x14ac:dyDescent="0.25">
      <c r="A3" s="275"/>
      <c r="B3" s="275"/>
      <c r="C3" s="275"/>
      <c r="D3" s="275"/>
      <c r="E3" s="275"/>
    </row>
    <row r="4" spans="1:20" ht="16.5" thickBot="1" x14ac:dyDescent="0.3">
      <c r="A4" s="1300"/>
      <c r="B4" s="1300"/>
      <c r="C4" s="1300"/>
      <c r="D4" s="1300"/>
      <c r="E4" s="1300"/>
    </row>
    <row r="5" spans="1:20" ht="47.25" x14ac:dyDescent="0.25">
      <c r="A5" s="276" t="s">
        <v>3</v>
      </c>
      <c r="B5" s="277" t="s">
        <v>634</v>
      </c>
      <c r="C5" s="278" t="s">
        <v>893</v>
      </c>
      <c r="D5" s="279">
        <v>7611</v>
      </c>
      <c r="E5" s="280" t="s">
        <v>280</v>
      </c>
      <c r="F5" s="279" t="s">
        <v>281</v>
      </c>
      <c r="G5" s="281" t="s">
        <v>676</v>
      </c>
      <c r="H5" s="281">
        <v>8751</v>
      </c>
      <c r="I5" s="281">
        <v>8711</v>
      </c>
      <c r="J5" s="282" t="s">
        <v>677</v>
      </c>
      <c r="K5" s="277" t="s">
        <v>678</v>
      </c>
      <c r="L5" s="283" t="s">
        <v>15</v>
      </c>
      <c r="N5" s="284"/>
      <c r="T5" s="285"/>
    </row>
    <row r="6" spans="1:20" ht="16.5" thickBot="1" x14ac:dyDescent="0.3">
      <c r="A6" s="300"/>
      <c r="B6" s="343"/>
      <c r="C6" s="344"/>
      <c r="D6" s="345"/>
      <c r="E6" s="346"/>
      <c r="F6" s="345"/>
      <c r="G6" s="347"/>
      <c r="H6" s="347"/>
      <c r="I6" s="347"/>
      <c r="J6" s="348"/>
      <c r="K6" s="303"/>
      <c r="L6" s="349"/>
    </row>
    <row r="7" spans="1:20" x14ac:dyDescent="0.25">
      <c r="A7" s="304" t="s">
        <v>533</v>
      </c>
      <c r="B7" s="313" t="s">
        <v>698</v>
      </c>
      <c r="C7" s="314">
        <f>39678513-G7-J7</f>
        <v>26891628</v>
      </c>
      <c r="D7" s="314">
        <v>1667370</v>
      </c>
      <c r="E7" s="314">
        <v>4880379</v>
      </c>
      <c r="F7" s="314">
        <v>1817940</v>
      </c>
      <c r="G7" s="314">
        <f>SUM(D7:F7)</f>
        <v>8365689</v>
      </c>
      <c r="H7" s="314">
        <v>1609844</v>
      </c>
      <c r="I7" s="314">
        <v>2811352</v>
      </c>
      <c r="J7" s="314">
        <f>SUM(H7:I7)</f>
        <v>4421196</v>
      </c>
      <c r="K7" s="314">
        <v>0</v>
      </c>
      <c r="L7" s="305">
        <f>SUM(C7+G7+J7+K7)</f>
        <v>39678513</v>
      </c>
      <c r="N7" s="1285" t="s">
        <v>1542</v>
      </c>
      <c r="O7" s="1285"/>
      <c r="P7" s="1285"/>
      <c r="Q7" s="1285"/>
      <c r="R7" s="1285"/>
      <c r="S7" s="291"/>
      <c r="T7" s="291"/>
    </row>
    <row r="8" spans="1:20" x14ac:dyDescent="0.25">
      <c r="A8" s="287" t="s">
        <v>535</v>
      </c>
      <c r="B8" s="288" t="s">
        <v>699</v>
      </c>
      <c r="C8" s="289">
        <f>2400000-G8-J8</f>
        <v>1536000</v>
      </c>
      <c r="D8" s="289">
        <f>96000</f>
        <v>96000</v>
      </c>
      <c r="E8" s="289">
        <v>312000</v>
      </c>
      <c r="F8" s="289">
        <v>144000</v>
      </c>
      <c r="G8" s="289">
        <f>SUM(D8:F8)</f>
        <v>552000</v>
      </c>
      <c r="H8" s="289">
        <v>96000</v>
      </c>
      <c r="I8" s="289">
        <v>216000</v>
      </c>
      <c r="J8" s="289">
        <f>SUM(H8:I8)</f>
        <v>312000</v>
      </c>
      <c r="K8" s="289">
        <v>0</v>
      </c>
      <c r="L8" s="290">
        <f t="shared" ref="L8:L27" si="0">SUM(C8+G8+J8+K8)</f>
        <v>2400000</v>
      </c>
      <c r="N8" s="1285" t="s">
        <v>364</v>
      </c>
      <c r="O8" s="1285"/>
      <c r="P8" s="1285"/>
      <c r="Q8" s="1285"/>
      <c r="R8" s="1285"/>
      <c r="S8" s="291"/>
      <c r="T8" s="291"/>
    </row>
    <row r="9" spans="1:20" x14ac:dyDescent="0.25">
      <c r="A9" s="287" t="s">
        <v>546</v>
      </c>
      <c r="B9" s="288" t="s">
        <v>700</v>
      </c>
      <c r="C9" s="289">
        <f>1785000-G9-J9</f>
        <v>1479000</v>
      </c>
      <c r="D9" s="289">
        <f>76500</f>
        <v>76500</v>
      </c>
      <c r="E9" s="289">
        <v>76500</v>
      </c>
      <c r="F9" s="289">
        <v>0</v>
      </c>
      <c r="G9" s="289">
        <f t="shared" ref="G9:G26" si="1">SUM(D9:F9)</f>
        <v>153000</v>
      </c>
      <c r="H9" s="289">
        <v>76500</v>
      </c>
      <c r="I9" s="289">
        <v>76500</v>
      </c>
      <c r="J9" s="289">
        <f t="shared" ref="J9:J26" si="2">SUM(H9:I9)</f>
        <v>153000</v>
      </c>
      <c r="K9" s="289">
        <v>0</v>
      </c>
      <c r="L9" s="290">
        <f t="shared" si="0"/>
        <v>1785000</v>
      </c>
      <c r="N9" s="275"/>
      <c r="O9" s="275"/>
      <c r="P9" s="275"/>
      <c r="Q9" s="275"/>
      <c r="R9" s="275"/>
      <c r="S9" s="275"/>
      <c r="T9" s="275"/>
    </row>
    <row r="10" spans="1:20" ht="16.5" thickBot="1" x14ac:dyDescent="0.3">
      <c r="A10" s="287" t="s">
        <v>545</v>
      </c>
      <c r="B10" s="288" t="s">
        <v>701</v>
      </c>
      <c r="C10" s="289">
        <f>1785000-G10-J10</f>
        <v>1479000</v>
      </c>
      <c r="D10" s="289">
        <f>76500</f>
        <v>76500</v>
      </c>
      <c r="E10" s="289">
        <v>76500</v>
      </c>
      <c r="F10" s="289">
        <v>0</v>
      </c>
      <c r="G10" s="289">
        <f t="shared" si="1"/>
        <v>153000</v>
      </c>
      <c r="H10" s="289">
        <v>76500</v>
      </c>
      <c r="I10" s="289">
        <v>76500</v>
      </c>
      <c r="J10" s="289">
        <f t="shared" si="2"/>
        <v>153000</v>
      </c>
      <c r="K10" s="289">
        <v>0</v>
      </c>
      <c r="L10" s="290">
        <f t="shared" si="0"/>
        <v>1785000</v>
      </c>
      <c r="N10" s="1300" t="s">
        <v>10</v>
      </c>
      <c r="O10" s="1300"/>
      <c r="P10" s="1300"/>
      <c r="Q10" s="1300"/>
      <c r="R10" s="1300"/>
      <c r="S10" s="292"/>
      <c r="T10" s="292"/>
    </row>
    <row r="11" spans="1:20" x14ac:dyDescent="0.25">
      <c r="A11" s="287" t="s">
        <v>547</v>
      </c>
      <c r="B11" s="288" t="s">
        <v>702</v>
      </c>
      <c r="C11" s="289">
        <f>600000-G11-J11</f>
        <v>384000</v>
      </c>
      <c r="D11" s="289">
        <v>24000</v>
      </c>
      <c r="E11" s="289">
        <v>78000</v>
      </c>
      <c r="F11" s="289">
        <v>36000</v>
      </c>
      <c r="G11" s="289">
        <f t="shared" si="1"/>
        <v>138000</v>
      </c>
      <c r="H11" s="289">
        <v>24000</v>
      </c>
      <c r="I11" s="289">
        <v>54000</v>
      </c>
      <c r="J11" s="289">
        <f t="shared" si="2"/>
        <v>78000</v>
      </c>
      <c r="K11" s="289">
        <v>0</v>
      </c>
      <c r="L11" s="290">
        <f t="shared" si="0"/>
        <v>600000</v>
      </c>
      <c r="N11" s="293"/>
      <c r="O11" s="293"/>
      <c r="P11" s="294"/>
      <c r="Q11" s="294"/>
      <c r="R11" s="295"/>
    </row>
    <row r="12" spans="1:20" x14ac:dyDescent="0.25">
      <c r="A12" s="287" t="s">
        <v>548</v>
      </c>
      <c r="B12" s="288" t="s">
        <v>719</v>
      </c>
      <c r="C12" s="289">
        <v>0</v>
      </c>
      <c r="D12" s="289">
        <f>72000</f>
        <v>72000</v>
      </c>
      <c r="E12" s="289">
        <v>257400</v>
      </c>
      <c r="F12" s="289">
        <v>118800</v>
      </c>
      <c r="G12" s="289">
        <f t="shared" si="1"/>
        <v>448200</v>
      </c>
      <c r="H12" s="289">
        <v>0</v>
      </c>
      <c r="I12" s="289">
        <v>0</v>
      </c>
      <c r="J12" s="289">
        <f t="shared" si="2"/>
        <v>0</v>
      </c>
      <c r="K12" s="289">
        <v>0</v>
      </c>
      <c r="L12" s="290">
        <f t="shared" si="0"/>
        <v>448200</v>
      </c>
      <c r="N12" s="296"/>
      <c r="O12" s="296"/>
      <c r="P12" s="297"/>
      <c r="Q12" s="297"/>
      <c r="R12" s="298"/>
    </row>
    <row r="13" spans="1:20" x14ac:dyDescent="0.25">
      <c r="A13" s="287" t="s">
        <v>806</v>
      </c>
      <c r="B13" s="288" t="s">
        <v>703</v>
      </c>
      <c r="C13" s="289">
        <f>500000-G13-J13</f>
        <v>320000</v>
      </c>
      <c r="D13" s="289">
        <f>20000</f>
        <v>20000</v>
      </c>
      <c r="E13" s="289">
        <v>65000</v>
      </c>
      <c r="F13" s="289">
        <v>30000</v>
      </c>
      <c r="G13" s="289">
        <f t="shared" si="1"/>
        <v>115000</v>
      </c>
      <c r="H13" s="289">
        <v>20000</v>
      </c>
      <c r="I13" s="289">
        <v>45000</v>
      </c>
      <c r="J13" s="289">
        <f t="shared" si="2"/>
        <v>65000</v>
      </c>
      <c r="K13" s="289">
        <v>0</v>
      </c>
      <c r="L13" s="290">
        <f t="shared" si="0"/>
        <v>500000</v>
      </c>
      <c r="N13" s="299" t="s">
        <v>3</v>
      </c>
      <c r="O13" s="1301" t="s">
        <v>634</v>
      </c>
      <c r="P13" s="1302"/>
      <c r="Q13" s="1303"/>
      <c r="R13" s="298" t="s">
        <v>15</v>
      </c>
    </row>
    <row r="14" spans="1:20" x14ac:dyDescent="0.25">
      <c r="A14" s="287" t="s">
        <v>549</v>
      </c>
      <c r="B14" s="288" t="s">
        <v>704</v>
      </c>
      <c r="C14" s="289">
        <f>50000-G14-J14</f>
        <v>10000</v>
      </c>
      <c r="D14" s="289">
        <v>5000</v>
      </c>
      <c r="E14" s="289">
        <v>15000</v>
      </c>
      <c r="F14" s="289">
        <v>10000</v>
      </c>
      <c r="G14" s="289">
        <f t="shared" si="1"/>
        <v>30000</v>
      </c>
      <c r="H14" s="289">
        <v>0</v>
      </c>
      <c r="I14" s="289">
        <v>10000</v>
      </c>
      <c r="J14" s="289">
        <f t="shared" si="2"/>
        <v>10000</v>
      </c>
      <c r="K14" s="289">
        <v>0</v>
      </c>
      <c r="L14" s="290">
        <f t="shared" si="0"/>
        <v>50000</v>
      </c>
      <c r="N14" s="296"/>
      <c r="O14" s="296"/>
      <c r="P14" s="297"/>
      <c r="Q14" s="297"/>
      <c r="R14" s="286"/>
    </row>
    <row r="15" spans="1:20" s="947" customFormat="1" ht="16.5" thickBot="1" x14ac:dyDescent="0.3">
      <c r="A15" s="287" t="s">
        <v>550</v>
      </c>
      <c r="B15" s="288" t="s">
        <v>704</v>
      </c>
      <c r="C15" s="289">
        <v>0</v>
      </c>
      <c r="D15" s="289">
        <v>0</v>
      </c>
      <c r="E15" s="289">
        <v>0</v>
      </c>
      <c r="F15" s="289">
        <v>0</v>
      </c>
      <c r="G15" s="289">
        <f t="shared" si="1"/>
        <v>0</v>
      </c>
      <c r="H15" s="289">
        <v>0</v>
      </c>
      <c r="I15" s="289">
        <v>0</v>
      </c>
      <c r="J15" s="289">
        <f t="shared" si="2"/>
        <v>0</v>
      </c>
      <c r="K15" s="289">
        <v>0</v>
      </c>
      <c r="L15" s="290">
        <f t="shared" si="0"/>
        <v>0</v>
      </c>
      <c r="N15" s="300"/>
      <c r="O15" s="300"/>
      <c r="P15" s="301"/>
      <c r="Q15" s="302"/>
      <c r="R15" s="303"/>
      <c r="S15" s="274"/>
      <c r="T15" s="274"/>
    </row>
    <row r="16" spans="1:20" x14ac:dyDescent="0.25">
      <c r="A16" s="287" t="s">
        <v>551</v>
      </c>
      <c r="B16" s="288" t="s">
        <v>720</v>
      </c>
      <c r="C16" s="289">
        <v>0</v>
      </c>
      <c r="D16" s="289">
        <v>107632.8</v>
      </c>
      <c r="E16" s="289">
        <v>420783</v>
      </c>
      <c r="F16" s="289">
        <v>173241</v>
      </c>
      <c r="G16" s="289">
        <f t="shared" si="1"/>
        <v>701656.8</v>
      </c>
      <c r="H16" s="289">
        <v>0</v>
      </c>
      <c r="I16" s="289">
        <v>0</v>
      </c>
      <c r="J16" s="289">
        <f t="shared" si="2"/>
        <v>0</v>
      </c>
      <c r="K16" s="289">
        <v>0</v>
      </c>
      <c r="L16" s="290">
        <f t="shared" si="0"/>
        <v>701656.8</v>
      </c>
      <c r="N16" s="304" t="s">
        <v>533</v>
      </c>
      <c r="O16" s="1294" t="s">
        <v>698</v>
      </c>
      <c r="P16" s="1295"/>
      <c r="Q16" s="1296"/>
      <c r="R16" s="305">
        <v>3782865</v>
      </c>
    </row>
    <row r="17" spans="1:18" x14ac:dyDescent="0.25">
      <c r="A17" s="287" t="s">
        <v>373</v>
      </c>
      <c r="B17" s="288" t="s">
        <v>721</v>
      </c>
      <c r="C17" s="289">
        <f>130000</f>
        <v>130000</v>
      </c>
      <c r="D17" s="289">
        <v>0</v>
      </c>
      <c r="E17" s="289">
        <v>0</v>
      </c>
      <c r="F17" s="289">
        <v>0</v>
      </c>
      <c r="G17" s="289">
        <f t="shared" si="1"/>
        <v>0</v>
      </c>
      <c r="H17" s="289">
        <v>0</v>
      </c>
      <c r="I17" s="289">
        <v>0</v>
      </c>
      <c r="J17" s="289">
        <f t="shared" si="2"/>
        <v>0</v>
      </c>
      <c r="K17" s="289">
        <v>0</v>
      </c>
      <c r="L17" s="290">
        <f t="shared" si="0"/>
        <v>130000</v>
      </c>
      <c r="N17" s="304" t="s">
        <v>435</v>
      </c>
      <c r="O17" s="1291" t="s">
        <v>754</v>
      </c>
      <c r="P17" s="1292"/>
      <c r="Q17" s="1293"/>
      <c r="R17" s="305">
        <v>1227480</v>
      </c>
    </row>
    <row r="18" spans="1:18" x14ac:dyDescent="0.25">
      <c r="A18" s="287" t="s">
        <v>552</v>
      </c>
      <c r="B18" s="288" t="s">
        <v>705</v>
      </c>
      <c r="C18" s="289">
        <f>500000-G18-J18</f>
        <v>320000</v>
      </c>
      <c r="D18" s="289">
        <f>20000</f>
        <v>20000</v>
      </c>
      <c r="E18" s="289">
        <v>65000</v>
      </c>
      <c r="F18" s="289">
        <v>30000</v>
      </c>
      <c r="G18" s="289">
        <f t="shared" si="1"/>
        <v>115000</v>
      </c>
      <c r="H18" s="289">
        <v>20000</v>
      </c>
      <c r="I18" s="289">
        <v>45000</v>
      </c>
      <c r="J18" s="289">
        <f t="shared" si="2"/>
        <v>65000</v>
      </c>
      <c r="K18" s="289">
        <v>0</v>
      </c>
      <c r="L18" s="290">
        <f t="shared" si="0"/>
        <v>500000</v>
      </c>
      <c r="N18" s="287" t="s">
        <v>535</v>
      </c>
      <c r="O18" s="1291" t="s">
        <v>699</v>
      </c>
      <c r="P18" s="1292"/>
      <c r="Q18" s="1293"/>
      <c r="R18" s="290">
        <v>816000</v>
      </c>
    </row>
    <row r="19" spans="1:18" x14ac:dyDescent="0.25">
      <c r="A19" s="287" t="s">
        <v>816</v>
      </c>
      <c r="B19" s="288" t="s">
        <v>704</v>
      </c>
      <c r="C19" s="289">
        <f>3280904-G19-J19</f>
        <v>2217487</v>
      </c>
      <c r="D19" s="289">
        <v>138682</v>
      </c>
      <c r="E19" s="289">
        <v>406707</v>
      </c>
      <c r="F19" s="289">
        <v>151495</v>
      </c>
      <c r="G19" s="289">
        <f t="shared" si="1"/>
        <v>696884</v>
      </c>
      <c r="H19" s="289">
        <v>133532</v>
      </c>
      <c r="I19" s="289">
        <v>233001</v>
      </c>
      <c r="J19" s="289">
        <f t="shared" si="2"/>
        <v>366533</v>
      </c>
      <c r="K19" s="289">
        <v>0</v>
      </c>
      <c r="L19" s="290">
        <f t="shared" si="0"/>
        <v>3280904</v>
      </c>
      <c r="N19" s="287" t="s">
        <v>547</v>
      </c>
      <c r="O19" s="1291" t="s">
        <v>702</v>
      </c>
      <c r="P19" s="1292"/>
      <c r="Q19" s="1293"/>
      <c r="R19" s="290">
        <v>204000</v>
      </c>
    </row>
    <row r="20" spans="1:18" x14ac:dyDescent="0.25">
      <c r="A20" s="287" t="s">
        <v>553</v>
      </c>
      <c r="B20" s="288" t="s">
        <v>706</v>
      </c>
      <c r="C20" s="289">
        <f>3289177-G20-J20</f>
        <v>2222086</v>
      </c>
      <c r="D20" s="289">
        <v>139166</v>
      </c>
      <c r="E20" s="289">
        <v>406996</v>
      </c>
      <c r="F20" s="289">
        <v>151495</v>
      </c>
      <c r="G20" s="289">
        <f t="shared" si="1"/>
        <v>697657</v>
      </c>
      <c r="H20" s="289">
        <v>134735</v>
      </c>
      <c r="I20" s="289">
        <v>234699</v>
      </c>
      <c r="J20" s="289">
        <f t="shared" si="2"/>
        <v>369434</v>
      </c>
      <c r="K20" s="289">
        <v>0</v>
      </c>
      <c r="L20" s="290">
        <f t="shared" si="0"/>
        <v>3289177</v>
      </c>
      <c r="N20" s="287" t="s">
        <v>548</v>
      </c>
      <c r="O20" s="1291" t="s">
        <v>719</v>
      </c>
      <c r="P20" s="1292"/>
      <c r="Q20" s="1293"/>
      <c r="R20" s="290">
        <v>19800</v>
      </c>
    </row>
    <row r="21" spans="1:18" x14ac:dyDescent="0.25">
      <c r="A21" s="287" t="s">
        <v>669</v>
      </c>
      <c r="B21" s="288" t="s">
        <v>707</v>
      </c>
      <c r="C21" s="289">
        <f>4777900-G21-J21</f>
        <v>3239000</v>
      </c>
      <c r="D21" s="289">
        <v>201000</v>
      </c>
      <c r="E21" s="289">
        <v>587000</v>
      </c>
      <c r="F21" s="289">
        <v>219000</v>
      </c>
      <c r="G21" s="289">
        <f t="shared" si="1"/>
        <v>1007000</v>
      </c>
      <c r="H21" s="289">
        <v>193900</v>
      </c>
      <c r="I21" s="289">
        <v>338000</v>
      </c>
      <c r="J21" s="289">
        <f t="shared" si="2"/>
        <v>531900</v>
      </c>
      <c r="K21" s="289">
        <v>0</v>
      </c>
      <c r="L21" s="290">
        <f t="shared" si="0"/>
        <v>4777900</v>
      </c>
      <c r="N21" s="287" t="s">
        <v>806</v>
      </c>
      <c r="O21" s="1291" t="s">
        <v>703</v>
      </c>
      <c r="P21" s="1292"/>
      <c r="Q21" s="1293"/>
      <c r="R21" s="290">
        <v>170000</v>
      </c>
    </row>
    <row r="22" spans="1:18" x14ac:dyDescent="0.25">
      <c r="A22" s="287" t="s">
        <v>554</v>
      </c>
      <c r="B22" s="288" t="s">
        <v>708</v>
      </c>
      <c r="C22" s="289">
        <f>180000-G22-J22</f>
        <v>115200</v>
      </c>
      <c r="D22" s="289">
        <v>7200</v>
      </c>
      <c r="E22" s="289">
        <v>23400</v>
      </c>
      <c r="F22" s="289">
        <v>10800</v>
      </c>
      <c r="G22" s="289">
        <f t="shared" si="1"/>
        <v>41400</v>
      </c>
      <c r="H22" s="289">
        <v>7200</v>
      </c>
      <c r="I22" s="289">
        <v>16200</v>
      </c>
      <c r="J22" s="289">
        <f t="shared" si="2"/>
        <v>23400</v>
      </c>
      <c r="K22" s="289">
        <v>0</v>
      </c>
      <c r="L22" s="290">
        <f t="shared" si="0"/>
        <v>180000</v>
      </c>
      <c r="N22" s="287" t="s">
        <v>549</v>
      </c>
      <c r="O22" s="1291" t="s">
        <v>704</v>
      </c>
      <c r="P22" s="1292"/>
      <c r="Q22" s="1293"/>
      <c r="R22" s="290">
        <v>15000</v>
      </c>
    </row>
    <row r="23" spans="1:18" x14ac:dyDescent="0.25">
      <c r="A23" s="287" t="s">
        <v>555</v>
      </c>
      <c r="B23" s="288" t="s">
        <v>709</v>
      </c>
      <c r="C23" s="289">
        <f>705000-G23-J23</f>
        <v>477300</v>
      </c>
      <c r="D23" s="289">
        <v>30000</v>
      </c>
      <c r="E23" s="289">
        <v>86000</v>
      </c>
      <c r="F23" s="289">
        <v>33000</v>
      </c>
      <c r="G23" s="289">
        <f t="shared" si="1"/>
        <v>149000</v>
      </c>
      <c r="H23" s="289">
        <v>28700</v>
      </c>
      <c r="I23" s="289">
        <v>50000</v>
      </c>
      <c r="J23" s="289">
        <f t="shared" si="2"/>
        <v>78700</v>
      </c>
      <c r="K23" s="289">
        <v>0</v>
      </c>
      <c r="L23" s="290">
        <f t="shared" si="0"/>
        <v>705000</v>
      </c>
      <c r="N23" s="287" t="s">
        <v>550</v>
      </c>
      <c r="O23" s="1291" t="s">
        <v>704</v>
      </c>
      <c r="P23" s="1292"/>
      <c r="Q23" s="1293"/>
      <c r="R23" s="290">
        <v>0</v>
      </c>
    </row>
    <row r="24" spans="1:18" x14ac:dyDescent="0.25">
      <c r="A24" s="287" t="s">
        <v>665</v>
      </c>
      <c r="B24" s="288" t="s">
        <v>710</v>
      </c>
      <c r="C24" s="289">
        <f>120000-G24-J24</f>
        <v>76800</v>
      </c>
      <c r="D24" s="289">
        <f>4800</f>
        <v>4800</v>
      </c>
      <c r="E24" s="289">
        <v>15600</v>
      </c>
      <c r="F24" s="289">
        <v>7200</v>
      </c>
      <c r="G24" s="289">
        <f t="shared" si="1"/>
        <v>27600</v>
      </c>
      <c r="H24" s="289">
        <v>4800</v>
      </c>
      <c r="I24" s="289">
        <v>10800</v>
      </c>
      <c r="J24" s="289">
        <f t="shared" si="2"/>
        <v>15600</v>
      </c>
      <c r="K24" s="289">
        <v>0</v>
      </c>
      <c r="L24" s="290">
        <f t="shared" si="0"/>
        <v>120000</v>
      </c>
      <c r="N24" s="287" t="s">
        <v>551</v>
      </c>
      <c r="O24" s="1291" t="s">
        <v>720</v>
      </c>
      <c r="P24" s="1292"/>
      <c r="Q24" s="1293"/>
      <c r="R24" s="290">
        <v>21336</v>
      </c>
    </row>
    <row r="25" spans="1:18" x14ac:dyDescent="0.25">
      <c r="A25" s="287" t="s">
        <v>378</v>
      </c>
      <c r="B25" s="288" t="s">
        <v>711</v>
      </c>
      <c r="C25" s="289">
        <f>1000000</f>
        <v>1000000</v>
      </c>
      <c r="D25" s="289">
        <v>0</v>
      </c>
      <c r="E25" s="289">
        <v>0</v>
      </c>
      <c r="F25" s="289">
        <v>0</v>
      </c>
      <c r="G25" s="289">
        <f t="shared" si="1"/>
        <v>0</v>
      </c>
      <c r="H25" s="289">
        <v>0</v>
      </c>
      <c r="I25" s="289">
        <v>0</v>
      </c>
      <c r="J25" s="289">
        <f t="shared" si="2"/>
        <v>0</v>
      </c>
      <c r="K25" s="289">
        <v>0</v>
      </c>
      <c r="L25" s="290">
        <f t="shared" si="0"/>
        <v>1000000</v>
      </c>
      <c r="N25" s="287" t="s">
        <v>373</v>
      </c>
      <c r="O25" s="1291" t="s">
        <v>721</v>
      </c>
      <c r="P25" s="1292"/>
      <c r="Q25" s="1293"/>
      <c r="R25" s="290">
        <v>70000</v>
      </c>
    </row>
    <row r="26" spans="1:18" x14ac:dyDescent="0.25">
      <c r="A26" s="287" t="s">
        <v>556</v>
      </c>
      <c r="B26" s="288" t="s">
        <v>711</v>
      </c>
      <c r="C26" s="289">
        <v>0</v>
      </c>
      <c r="D26" s="289">
        <v>0</v>
      </c>
      <c r="E26" s="289">
        <v>25000</v>
      </c>
      <c r="F26" s="289">
        <v>0</v>
      </c>
      <c r="G26" s="289">
        <f t="shared" si="1"/>
        <v>25000</v>
      </c>
      <c r="H26" s="289">
        <v>0</v>
      </c>
      <c r="I26" s="289">
        <v>0</v>
      </c>
      <c r="J26" s="289">
        <f t="shared" si="2"/>
        <v>0</v>
      </c>
      <c r="K26" s="289">
        <v>0</v>
      </c>
      <c r="L26" s="290">
        <f t="shared" si="0"/>
        <v>25000</v>
      </c>
      <c r="N26" s="287" t="s">
        <v>552</v>
      </c>
      <c r="O26" s="1291" t="s">
        <v>705</v>
      </c>
      <c r="P26" s="1292"/>
      <c r="Q26" s="1293"/>
      <c r="R26" s="290">
        <v>170000</v>
      </c>
    </row>
    <row r="27" spans="1:18" ht="16.5" thickBot="1" x14ac:dyDescent="0.3">
      <c r="A27" s="306" t="s">
        <v>557</v>
      </c>
      <c r="B27" s="307" t="s">
        <v>722</v>
      </c>
      <c r="C27" s="308">
        <f>1000000</f>
        <v>1000000</v>
      </c>
      <c r="D27" s="308">
        <v>0</v>
      </c>
      <c r="E27" s="308">
        <v>0</v>
      </c>
      <c r="F27" s="308">
        <v>0</v>
      </c>
      <c r="G27" s="308">
        <f>SUM(D27:F27)</f>
        <v>0</v>
      </c>
      <c r="H27" s="308">
        <v>0</v>
      </c>
      <c r="I27" s="308">
        <v>0</v>
      </c>
      <c r="J27" s="308">
        <f>SUM(H27:I27)</f>
        <v>0</v>
      </c>
      <c r="K27" s="308">
        <v>0</v>
      </c>
      <c r="L27" s="290">
        <f t="shared" si="0"/>
        <v>1000000</v>
      </c>
      <c r="N27" s="287" t="s">
        <v>816</v>
      </c>
      <c r="O27" s="1291" t="s">
        <v>704</v>
      </c>
      <c r="P27" s="1292"/>
      <c r="Q27" s="1293"/>
      <c r="R27" s="290">
        <v>416927</v>
      </c>
    </row>
    <row r="28" spans="1:18" ht="16.5" thickBot="1" x14ac:dyDescent="0.3">
      <c r="A28" s="309" t="s">
        <v>890</v>
      </c>
      <c r="B28" s="310"/>
      <c r="C28" s="311">
        <f>SUM(C7:C27)</f>
        <v>42897501</v>
      </c>
      <c r="D28" s="311">
        <f t="shared" ref="D28:G28" si="3">SUM(D7:D27)</f>
        <v>2685850.8</v>
      </c>
      <c r="E28" s="311">
        <f t="shared" si="3"/>
        <v>7797265</v>
      </c>
      <c r="F28" s="311">
        <f t="shared" si="3"/>
        <v>2932971</v>
      </c>
      <c r="G28" s="311">
        <f t="shared" si="3"/>
        <v>13416086.800000001</v>
      </c>
      <c r="H28" s="311">
        <f t="shared" ref="H28:L28" si="4">SUM(H7:H27)</f>
        <v>2425711</v>
      </c>
      <c r="I28" s="311">
        <f t="shared" si="4"/>
        <v>4217052</v>
      </c>
      <c r="J28" s="311">
        <f t="shared" si="4"/>
        <v>6642763</v>
      </c>
      <c r="K28" s="311">
        <f t="shared" si="4"/>
        <v>0</v>
      </c>
      <c r="L28" s="311">
        <f t="shared" si="4"/>
        <v>62956350.799999997</v>
      </c>
      <c r="N28" s="287" t="s">
        <v>553</v>
      </c>
      <c r="O28" s="1291" t="s">
        <v>706</v>
      </c>
      <c r="P28" s="1292"/>
      <c r="Q28" s="1293"/>
      <c r="R28" s="290">
        <v>417831</v>
      </c>
    </row>
    <row r="29" spans="1:18" x14ac:dyDescent="0.25">
      <c r="A29" s="304" t="s">
        <v>559</v>
      </c>
      <c r="B29" s="313" t="s">
        <v>712</v>
      </c>
      <c r="C29" s="314">
        <f>3195855-G29-J29</f>
        <v>2669000</v>
      </c>
      <c r="D29" s="314">
        <v>108000</v>
      </c>
      <c r="E29" s="314">
        <v>174340</v>
      </c>
      <c r="F29" s="314">
        <v>86515</v>
      </c>
      <c r="G29" s="314">
        <f>SUM(D29:F29)</f>
        <v>368855</v>
      </c>
      <c r="H29" s="314">
        <v>38000</v>
      </c>
      <c r="I29" s="314">
        <v>120000</v>
      </c>
      <c r="J29" s="314">
        <f>SUM(H29:I29)</f>
        <v>158000</v>
      </c>
      <c r="K29" s="314">
        <v>0</v>
      </c>
      <c r="L29" s="290">
        <f t="shared" ref="L29:L67" si="5">SUM(C29+G29+J29+K29)</f>
        <v>3195855</v>
      </c>
      <c r="N29" s="287" t="s">
        <v>669</v>
      </c>
      <c r="O29" s="1291" t="s">
        <v>707</v>
      </c>
      <c r="P29" s="1292"/>
      <c r="Q29" s="1293"/>
      <c r="R29" s="290">
        <v>604400</v>
      </c>
    </row>
    <row r="30" spans="1:18" x14ac:dyDescent="0.25">
      <c r="A30" s="287" t="s">
        <v>436</v>
      </c>
      <c r="B30" s="288" t="s">
        <v>713</v>
      </c>
      <c r="C30" s="289">
        <f>2552100-G30-J30</f>
        <v>2079000</v>
      </c>
      <c r="D30" s="289">
        <v>120000</v>
      </c>
      <c r="E30" s="289">
        <v>93170</v>
      </c>
      <c r="F30" s="289">
        <v>39930</v>
      </c>
      <c r="G30" s="289">
        <f>SUM(D30:F30)</f>
        <v>253100</v>
      </c>
      <c r="H30" s="289">
        <v>40000</v>
      </c>
      <c r="I30" s="289">
        <v>180000</v>
      </c>
      <c r="J30" s="289">
        <f>SUM(H30:I30)</f>
        <v>220000</v>
      </c>
      <c r="K30" s="289">
        <v>0</v>
      </c>
      <c r="L30" s="290">
        <f t="shared" si="5"/>
        <v>2552100</v>
      </c>
      <c r="N30" s="287" t="s">
        <v>554</v>
      </c>
      <c r="O30" s="1291" t="s">
        <v>708</v>
      </c>
      <c r="P30" s="1292"/>
      <c r="Q30" s="1293"/>
      <c r="R30" s="290">
        <v>61200</v>
      </c>
    </row>
    <row r="31" spans="1:18" x14ac:dyDescent="0.25">
      <c r="A31" s="287" t="s">
        <v>384</v>
      </c>
      <c r="B31" s="288" t="s">
        <v>714</v>
      </c>
      <c r="C31" s="289">
        <f>3322496-G31-J31</f>
        <v>2808852</v>
      </c>
      <c r="D31" s="289">
        <v>160000</v>
      </c>
      <c r="E31" s="289">
        <v>113100</v>
      </c>
      <c r="F31" s="289">
        <v>110544</v>
      </c>
      <c r="G31" s="289">
        <f t="shared" ref="G31:G46" si="6">SUM(D31:F31)</f>
        <v>383644</v>
      </c>
      <c r="H31" s="289">
        <v>80000</v>
      </c>
      <c r="I31" s="289">
        <v>50000</v>
      </c>
      <c r="J31" s="289">
        <f t="shared" ref="J31:J46" si="7">SUM(H31:I31)</f>
        <v>130000</v>
      </c>
      <c r="K31" s="289">
        <v>0</v>
      </c>
      <c r="L31" s="290">
        <f t="shared" si="5"/>
        <v>3322496</v>
      </c>
      <c r="N31" s="287" t="s">
        <v>555</v>
      </c>
      <c r="O31" s="1291" t="s">
        <v>709</v>
      </c>
      <c r="P31" s="1292"/>
      <c r="Q31" s="1293"/>
      <c r="R31" s="290">
        <v>111300</v>
      </c>
    </row>
    <row r="32" spans="1:18" x14ac:dyDescent="0.25">
      <c r="A32" s="287" t="s">
        <v>560</v>
      </c>
      <c r="B32" s="288" t="s">
        <v>723</v>
      </c>
      <c r="C32" s="289">
        <v>200000</v>
      </c>
      <c r="D32" s="289">
        <v>0</v>
      </c>
      <c r="E32" s="289">
        <v>0</v>
      </c>
      <c r="F32" s="289">
        <v>0</v>
      </c>
      <c r="G32" s="289">
        <f t="shared" si="6"/>
        <v>0</v>
      </c>
      <c r="H32" s="289">
        <v>0</v>
      </c>
      <c r="I32" s="289">
        <v>0</v>
      </c>
      <c r="J32" s="289">
        <f t="shared" si="7"/>
        <v>0</v>
      </c>
      <c r="K32" s="289">
        <v>0</v>
      </c>
      <c r="L32" s="290">
        <f t="shared" si="5"/>
        <v>200000</v>
      </c>
      <c r="N32" s="287" t="s">
        <v>665</v>
      </c>
      <c r="O32" s="1291" t="s">
        <v>710</v>
      </c>
      <c r="P32" s="1292"/>
      <c r="Q32" s="1293"/>
      <c r="R32" s="290">
        <v>40800</v>
      </c>
    </row>
    <row r="33" spans="1:18" x14ac:dyDescent="0.25">
      <c r="A33" s="287" t="s">
        <v>561</v>
      </c>
      <c r="B33" s="288" t="s">
        <v>724</v>
      </c>
      <c r="C33" s="289">
        <v>0</v>
      </c>
      <c r="D33" s="289">
        <v>0</v>
      </c>
      <c r="E33" s="289">
        <v>1276041</v>
      </c>
      <c r="F33" s="289">
        <v>1270382</v>
      </c>
      <c r="G33" s="289">
        <f t="shared" si="6"/>
        <v>2546423</v>
      </c>
      <c r="H33" s="289">
        <v>0</v>
      </c>
      <c r="I33" s="289">
        <v>0</v>
      </c>
      <c r="J33" s="289">
        <f t="shared" si="7"/>
        <v>0</v>
      </c>
      <c r="K33" s="289">
        <v>0</v>
      </c>
      <c r="L33" s="290">
        <f t="shared" si="5"/>
        <v>2546423</v>
      </c>
      <c r="N33" s="287" t="s">
        <v>378</v>
      </c>
      <c r="O33" s="1291" t="s">
        <v>711</v>
      </c>
      <c r="P33" s="1292"/>
      <c r="Q33" s="1293"/>
      <c r="R33" s="290">
        <v>0</v>
      </c>
    </row>
    <row r="34" spans="1:18" ht="16.5" thickBot="1" x14ac:dyDescent="0.3">
      <c r="A34" s="287" t="s">
        <v>562</v>
      </c>
      <c r="B34" s="288" t="s">
        <v>725</v>
      </c>
      <c r="C34" s="289">
        <v>0</v>
      </c>
      <c r="D34" s="289">
        <v>0</v>
      </c>
      <c r="E34" s="289">
        <v>179228</v>
      </c>
      <c r="F34" s="289">
        <v>0</v>
      </c>
      <c r="G34" s="289">
        <f t="shared" si="6"/>
        <v>179228</v>
      </c>
      <c r="H34" s="289">
        <v>0</v>
      </c>
      <c r="I34" s="289">
        <v>0</v>
      </c>
      <c r="J34" s="289">
        <f t="shared" si="7"/>
        <v>0</v>
      </c>
      <c r="K34" s="289">
        <v>0</v>
      </c>
      <c r="L34" s="290">
        <f t="shared" si="5"/>
        <v>179228</v>
      </c>
      <c r="N34" s="287" t="s">
        <v>557</v>
      </c>
      <c r="O34" s="1297" t="s">
        <v>722</v>
      </c>
      <c r="P34" s="1298"/>
      <c r="Q34" s="1299"/>
      <c r="R34" s="290">
        <v>0</v>
      </c>
    </row>
    <row r="35" spans="1:18" ht="16.5" thickBot="1" x14ac:dyDescent="0.3">
      <c r="A35" s="287" t="s">
        <v>955</v>
      </c>
      <c r="B35" s="288" t="s">
        <v>726</v>
      </c>
      <c r="C35" s="289">
        <f>750000</f>
        <v>750000</v>
      </c>
      <c r="D35" s="289">
        <v>0</v>
      </c>
      <c r="E35" s="289">
        <v>0</v>
      </c>
      <c r="F35" s="289">
        <v>0</v>
      </c>
      <c r="G35" s="289">
        <f t="shared" si="6"/>
        <v>0</v>
      </c>
      <c r="H35" s="289">
        <v>0</v>
      </c>
      <c r="I35" s="289">
        <v>0</v>
      </c>
      <c r="J35" s="289">
        <f t="shared" si="7"/>
        <v>0</v>
      </c>
      <c r="K35" s="289">
        <v>0</v>
      </c>
      <c r="L35" s="290">
        <f t="shared" si="5"/>
        <v>750000</v>
      </c>
      <c r="N35" s="309" t="s">
        <v>890</v>
      </c>
      <c r="O35" s="315"/>
      <c r="P35" s="316"/>
      <c r="Q35" s="316"/>
      <c r="R35" s="312">
        <f>SUM(R16:R34)</f>
        <v>8148939</v>
      </c>
    </row>
    <row r="36" spans="1:18" x14ac:dyDescent="0.25">
      <c r="A36" s="287" t="s">
        <v>563</v>
      </c>
      <c r="B36" s="288" t="s">
        <v>715</v>
      </c>
      <c r="C36" s="289">
        <f>27950-G36-J36</f>
        <v>25750</v>
      </c>
      <c r="D36" s="289">
        <f>1200</f>
        <v>1200</v>
      </c>
      <c r="E36" s="289">
        <v>0</v>
      </c>
      <c r="F36" s="289">
        <v>0</v>
      </c>
      <c r="G36" s="289">
        <f t="shared" si="6"/>
        <v>1200</v>
      </c>
      <c r="H36" s="289">
        <v>0</v>
      </c>
      <c r="I36" s="289">
        <v>1000</v>
      </c>
      <c r="J36" s="289">
        <f t="shared" si="7"/>
        <v>1000</v>
      </c>
      <c r="K36" s="289">
        <v>0</v>
      </c>
      <c r="L36" s="290">
        <f t="shared" si="5"/>
        <v>27950</v>
      </c>
      <c r="N36" s="304" t="s">
        <v>559</v>
      </c>
      <c r="O36" s="1288" t="s">
        <v>712</v>
      </c>
      <c r="P36" s="1289"/>
      <c r="Q36" s="1290"/>
      <c r="R36" s="305">
        <v>44000</v>
      </c>
    </row>
    <row r="37" spans="1:18" x14ac:dyDescent="0.25">
      <c r="A37" s="287" t="s">
        <v>564</v>
      </c>
      <c r="B37" s="288" t="s">
        <v>716</v>
      </c>
      <c r="C37" s="289">
        <v>96000</v>
      </c>
      <c r="D37" s="289">
        <v>0</v>
      </c>
      <c r="E37" s="289">
        <v>0</v>
      </c>
      <c r="F37" s="289">
        <v>0</v>
      </c>
      <c r="G37" s="289">
        <f t="shared" si="6"/>
        <v>0</v>
      </c>
      <c r="H37" s="289">
        <v>0</v>
      </c>
      <c r="I37" s="289">
        <v>0</v>
      </c>
      <c r="J37" s="289">
        <f t="shared" si="7"/>
        <v>0</v>
      </c>
      <c r="K37" s="289">
        <v>0</v>
      </c>
      <c r="L37" s="290">
        <f t="shared" si="5"/>
        <v>96000</v>
      </c>
      <c r="N37" s="287" t="s">
        <v>436</v>
      </c>
      <c r="O37" s="1291" t="s">
        <v>713</v>
      </c>
      <c r="P37" s="1292"/>
      <c r="Q37" s="1293"/>
      <c r="R37" s="290">
        <v>40000</v>
      </c>
    </row>
    <row r="38" spans="1:18" x14ac:dyDescent="0.25">
      <c r="A38" s="287" t="s">
        <v>565</v>
      </c>
      <c r="B38" s="288" t="s">
        <v>716</v>
      </c>
      <c r="C38" s="289">
        <f>912000-G38-J38</f>
        <v>768000</v>
      </c>
      <c r="D38" s="289">
        <v>36000</v>
      </c>
      <c r="E38" s="289">
        <v>36000</v>
      </c>
      <c r="F38" s="289">
        <v>0</v>
      </c>
      <c r="G38" s="289">
        <f t="shared" si="6"/>
        <v>72000</v>
      </c>
      <c r="H38" s="289">
        <v>36000</v>
      </c>
      <c r="I38" s="289">
        <v>36000</v>
      </c>
      <c r="J38" s="289">
        <f t="shared" si="7"/>
        <v>72000</v>
      </c>
      <c r="K38" s="289">
        <v>0</v>
      </c>
      <c r="L38" s="290">
        <f t="shared" si="5"/>
        <v>912000</v>
      </c>
      <c r="N38" s="287" t="s">
        <v>384</v>
      </c>
      <c r="O38" s="1291" t="s">
        <v>714</v>
      </c>
      <c r="P38" s="1292"/>
      <c r="Q38" s="1293"/>
      <c r="R38" s="290">
        <v>330000</v>
      </c>
    </row>
    <row r="39" spans="1:18" x14ac:dyDescent="0.25">
      <c r="A39" s="287" t="s">
        <v>566</v>
      </c>
      <c r="B39" s="288" t="s">
        <v>727</v>
      </c>
      <c r="C39" s="289">
        <v>750000</v>
      </c>
      <c r="D39" s="289">
        <v>0</v>
      </c>
      <c r="E39" s="289">
        <v>0</v>
      </c>
      <c r="F39" s="289">
        <v>0</v>
      </c>
      <c r="G39" s="289">
        <f t="shared" si="6"/>
        <v>0</v>
      </c>
      <c r="H39" s="289">
        <v>0</v>
      </c>
      <c r="I39" s="289">
        <v>0</v>
      </c>
      <c r="J39" s="289">
        <f t="shared" si="7"/>
        <v>0</v>
      </c>
      <c r="K39" s="289">
        <v>0</v>
      </c>
      <c r="L39" s="290">
        <f t="shared" si="5"/>
        <v>750000</v>
      </c>
      <c r="N39" s="287" t="s">
        <v>383</v>
      </c>
      <c r="O39" s="1291" t="s">
        <v>755</v>
      </c>
      <c r="P39" s="1292"/>
      <c r="Q39" s="1293"/>
      <c r="R39" s="290">
        <v>1900000</v>
      </c>
    </row>
    <row r="40" spans="1:18" x14ac:dyDescent="0.25">
      <c r="A40" s="287" t="s">
        <v>567</v>
      </c>
      <c r="B40" s="288" t="s">
        <v>728</v>
      </c>
      <c r="C40" s="289">
        <v>250000</v>
      </c>
      <c r="D40" s="289">
        <v>0</v>
      </c>
      <c r="E40" s="289">
        <v>0</v>
      </c>
      <c r="F40" s="289">
        <v>0</v>
      </c>
      <c r="G40" s="289">
        <f t="shared" si="6"/>
        <v>0</v>
      </c>
      <c r="H40" s="289">
        <v>0</v>
      </c>
      <c r="I40" s="289">
        <v>0</v>
      </c>
      <c r="J40" s="289">
        <f t="shared" si="7"/>
        <v>0</v>
      </c>
      <c r="K40" s="289">
        <v>0</v>
      </c>
      <c r="L40" s="290">
        <f t="shared" si="5"/>
        <v>250000</v>
      </c>
      <c r="N40" s="287" t="s">
        <v>565</v>
      </c>
      <c r="O40" s="1291" t="s">
        <v>716</v>
      </c>
      <c r="P40" s="1292"/>
      <c r="Q40" s="1293"/>
      <c r="R40" s="290">
        <v>12000</v>
      </c>
    </row>
    <row r="41" spans="1:18" x14ac:dyDescent="0.25">
      <c r="A41" s="287" t="s">
        <v>1663</v>
      </c>
      <c r="B41" s="288" t="s">
        <v>729</v>
      </c>
      <c r="C41" s="289">
        <v>300000</v>
      </c>
      <c r="D41" s="289">
        <v>0</v>
      </c>
      <c r="E41" s="289">
        <v>0</v>
      </c>
      <c r="F41" s="289">
        <v>0</v>
      </c>
      <c r="G41" s="289">
        <f t="shared" si="6"/>
        <v>0</v>
      </c>
      <c r="H41" s="289">
        <v>0</v>
      </c>
      <c r="I41" s="289">
        <v>0</v>
      </c>
      <c r="J41" s="289">
        <f t="shared" si="7"/>
        <v>0</v>
      </c>
      <c r="K41" s="289">
        <v>0</v>
      </c>
      <c r="L41" s="290">
        <f t="shared" si="5"/>
        <v>300000</v>
      </c>
      <c r="N41" s="287" t="s">
        <v>382</v>
      </c>
      <c r="O41" s="1291" t="s">
        <v>756</v>
      </c>
      <c r="P41" s="1292"/>
      <c r="Q41" s="1293"/>
      <c r="R41" s="290">
        <v>714118</v>
      </c>
    </row>
    <row r="42" spans="1:18" x14ac:dyDescent="0.25">
      <c r="A42" s="287" t="s">
        <v>950</v>
      </c>
      <c r="B42" s="288" t="s">
        <v>717</v>
      </c>
      <c r="C42" s="289">
        <f>865620-G42-J42</f>
        <v>769000</v>
      </c>
      <c r="D42" s="289">
        <v>20000</v>
      </c>
      <c r="E42" s="289">
        <v>13310</v>
      </c>
      <c r="F42" s="289">
        <v>13310</v>
      </c>
      <c r="G42" s="289">
        <f t="shared" si="6"/>
        <v>46620</v>
      </c>
      <c r="H42" s="289">
        <v>30000</v>
      </c>
      <c r="I42" s="289">
        <v>20000</v>
      </c>
      <c r="J42" s="289">
        <f t="shared" si="7"/>
        <v>50000</v>
      </c>
      <c r="K42" s="289">
        <v>0</v>
      </c>
      <c r="L42" s="290">
        <f t="shared" si="5"/>
        <v>865620</v>
      </c>
      <c r="N42" s="287" t="s">
        <v>974</v>
      </c>
      <c r="O42" s="1291" t="s">
        <v>975</v>
      </c>
      <c r="P42" s="1292"/>
      <c r="Q42" s="1293"/>
      <c r="R42" s="290">
        <v>450000</v>
      </c>
    </row>
    <row r="43" spans="1:18" x14ac:dyDescent="0.25">
      <c r="A43" s="287" t="s">
        <v>977</v>
      </c>
      <c r="B43" s="288" t="s">
        <v>975</v>
      </c>
      <c r="C43" s="289">
        <v>150000</v>
      </c>
      <c r="D43" s="289">
        <v>0</v>
      </c>
      <c r="E43" s="289">
        <v>0</v>
      </c>
      <c r="F43" s="289">
        <v>0</v>
      </c>
      <c r="G43" s="289">
        <v>0</v>
      </c>
      <c r="H43" s="289">
        <v>0</v>
      </c>
      <c r="I43" s="289">
        <v>0</v>
      </c>
      <c r="J43" s="289">
        <f t="shared" si="7"/>
        <v>0</v>
      </c>
      <c r="K43" s="289">
        <v>0</v>
      </c>
      <c r="L43" s="290">
        <f t="shared" si="5"/>
        <v>150000</v>
      </c>
      <c r="N43" s="287" t="s">
        <v>950</v>
      </c>
      <c r="O43" s="1291" t="s">
        <v>976</v>
      </c>
      <c r="P43" s="1292"/>
      <c r="Q43" s="1293"/>
      <c r="R43" s="290">
        <v>40000</v>
      </c>
    </row>
    <row r="44" spans="1:18" x14ac:dyDescent="0.25">
      <c r="A44" s="287" t="s">
        <v>569</v>
      </c>
      <c r="B44" s="288" t="s">
        <v>730</v>
      </c>
      <c r="C44" s="289">
        <v>69366</v>
      </c>
      <c r="D44" s="289">
        <v>0</v>
      </c>
      <c r="E44" s="289">
        <v>0</v>
      </c>
      <c r="F44" s="289">
        <v>0</v>
      </c>
      <c r="G44" s="289">
        <f t="shared" si="6"/>
        <v>0</v>
      </c>
      <c r="H44" s="289">
        <v>0</v>
      </c>
      <c r="I44" s="289">
        <v>0</v>
      </c>
      <c r="J44" s="289">
        <f t="shared" si="7"/>
        <v>0</v>
      </c>
      <c r="K44" s="289">
        <v>0</v>
      </c>
      <c r="L44" s="290">
        <f t="shared" si="5"/>
        <v>69366</v>
      </c>
      <c r="N44" s="287" t="s">
        <v>381</v>
      </c>
      <c r="O44" s="1291" t="s">
        <v>757</v>
      </c>
      <c r="P44" s="1292"/>
      <c r="Q44" s="1293"/>
      <c r="R44" s="290">
        <v>270000</v>
      </c>
    </row>
    <row r="45" spans="1:18" ht="16.5" thickBot="1" x14ac:dyDescent="0.3">
      <c r="A45" s="287" t="s">
        <v>570</v>
      </c>
      <c r="B45" s="288" t="s">
        <v>730</v>
      </c>
      <c r="C45" s="289">
        <v>0</v>
      </c>
      <c r="D45" s="289">
        <v>1837840</v>
      </c>
      <c r="E45" s="289">
        <v>0</v>
      </c>
      <c r="F45" s="289">
        <v>0</v>
      </c>
      <c r="G45" s="289">
        <f t="shared" si="6"/>
        <v>1837840</v>
      </c>
      <c r="H45" s="289">
        <v>0</v>
      </c>
      <c r="I45" s="289">
        <v>847932.2</v>
      </c>
      <c r="J45" s="289">
        <f t="shared" si="7"/>
        <v>847932.2</v>
      </c>
      <c r="K45" s="289">
        <v>0</v>
      </c>
      <c r="L45" s="290">
        <f t="shared" si="5"/>
        <v>2685772.2</v>
      </c>
      <c r="N45" s="306" t="s">
        <v>572</v>
      </c>
      <c r="O45" s="1297" t="s">
        <v>718</v>
      </c>
      <c r="P45" s="1298"/>
      <c r="Q45" s="1299"/>
      <c r="R45" s="317">
        <v>0</v>
      </c>
    </row>
    <row r="46" spans="1:18" ht="16.5" thickBot="1" x14ac:dyDescent="0.3">
      <c r="A46" s="287" t="s">
        <v>571</v>
      </c>
      <c r="B46" s="288" t="s">
        <v>731</v>
      </c>
      <c r="C46" s="289">
        <v>120000</v>
      </c>
      <c r="D46" s="289">
        <v>0</v>
      </c>
      <c r="E46" s="289">
        <v>0</v>
      </c>
      <c r="F46" s="289">
        <v>0</v>
      </c>
      <c r="G46" s="289">
        <f t="shared" si="6"/>
        <v>0</v>
      </c>
      <c r="H46" s="289">
        <v>0</v>
      </c>
      <c r="I46" s="289">
        <v>0</v>
      </c>
      <c r="J46" s="289">
        <f t="shared" si="7"/>
        <v>0</v>
      </c>
      <c r="K46" s="289">
        <v>0</v>
      </c>
      <c r="L46" s="290">
        <f t="shared" si="5"/>
        <v>120000</v>
      </c>
      <c r="N46" s="309" t="s">
        <v>891</v>
      </c>
      <c r="O46" s="315"/>
      <c r="P46" s="316"/>
      <c r="Q46" s="316"/>
      <c r="R46" s="312">
        <f>SUM(R36:R45)</f>
        <v>3800118</v>
      </c>
    </row>
    <row r="47" spans="1:18" ht="16.5" thickBot="1" x14ac:dyDescent="0.3">
      <c r="A47" s="306" t="s">
        <v>572</v>
      </c>
      <c r="B47" s="307" t="s">
        <v>718</v>
      </c>
      <c r="C47" s="308">
        <f>687730-G47-J47</f>
        <v>348000</v>
      </c>
      <c r="D47" s="308">
        <v>150000</v>
      </c>
      <c r="E47" s="308">
        <v>101420</v>
      </c>
      <c r="F47" s="308">
        <v>68310</v>
      </c>
      <c r="G47" s="308">
        <f>SUM(D47:F47)</f>
        <v>319730</v>
      </c>
      <c r="H47" s="308">
        <v>10000</v>
      </c>
      <c r="I47" s="308">
        <v>10000</v>
      </c>
      <c r="J47" s="308">
        <f>SUM(H47:I47)</f>
        <v>20000</v>
      </c>
      <c r="K47" s="308">
        <v>0</v>
      </c>
      <c r="L47" s="290">
        <f t="shared" si="5"/>
        <v>687730</v>
      </c>
      <c r="N47" s="287" t="s">
        <v>868</v>
      </c>
      <c r="O47" s="1288" t="s">
        <v>869</v>
      </c>
      <c r="P47" s="1289"/>
      <c r="Q47" s="1290"/>
      <c r="R47" s="290">
        <v>20000</v>
      </c>
    </row>
    <row r="48" spans="1:18" ht="16.5" thickBot="1" x14ac:dyDescent="0.3">
      <c r="A48" s="309" t="s">
        <v>891</v>
      </c>
      <c r="B48" s="310"/>
      <c r="C48" s="311">
        <f t="shared" ref="C48:K48" si="8">SUM(C29:C47)</f>
        <v>12152968</v>
      </c>
      <c r="D48" s="311">
        <f t="shared" si="8"/>
        <v>2433040</v>
      </c>
      <c r="E48" s="311">
        <f t="shared" si="8"/>
        <v>1986609</v>
      </c>
      <c r="F48" s="311">
        <f t="shared" si="8"/>
        <v>1588991</v>
      </c>
      <c r="G48" s="311">
        <f t="shared" si="8"/>
        <v>6008640</v>
      </c>
      <c r="H48" s="311">
        <f t="shared" si="8"/>
        <v>234000</v>
      </c>
      <c r="I48" s="311">
        <f t="shared" si="8"/>
        <v>1264932.2</v>
      </c>
      <c r="J48" s="311">
        <f t="shared" si="8"/>
        <v>1498932.2</v>
      </c>
      <c r="K48" s="311">
        <f t="shared" si="8"/>
        <v>0</v>
      </c>
      <c r="L48" s="312">
        <f t="shared" si="5"/>
        <v>19660540.199999999</v>
      </c>
      <c r="N48" s="287" t="s">
        <v>1645</v>
      </c>
      <c r="O48" s="1291" t="s">
        <v>980</v>
      </c>
      <c r="P48" s="1292"/>
      <c r="Q48" s="1293"/>
      <c r="R48" s="290">
        <v>15000</v>
      </c>
    </row>
    <row r="49" spans="1:20" x14ac:dyDescent="0.25">
      <c r="A49" s="304" t="s">
        <v>865</v>
      </c>
      <c r="B49" s="313" t="s">
        <v>866</v>
      </c>
      <c r="C49" s="314">
        <v>0</v>
      </c>
      <c r="D49" s="314">
        <v>0</v>
      </c>
      <c r="E49" s="314">
        <v>0</v>
      </c>
      <c r="F49" s="314"/>
      <c r="G49" s="314">
        <f>SUM(D49:F49)</f>
        <v>0</v>
      </c>
      <c r="H49" s="314"/>
      <c r="I49" s="314"/>
      <c r="J49" s="314">
        <f>SUM(H49:I49)</f>
        <v>0</v>
      </c>
      <c r="K49" s="314">
        <v>0</v>
      </c>
      <c r="L49" s="290">
        <f t="shared" si="5"/>
        <v>0</v>
      </c>
      <c r="N49" s="287" t="s">
        <v>1644</v>
      </c>
      <c r="O49" s="1291" t="s">
        <v>870</v>
      </c>
      <c r="P49" s="1292"/>
      <c r="Q49" s="1293"/>
      <c r="R49" s="290">
        <v>90000</v>
      </c>
    </row>
    <row r="50" spans="1:20" x14ac:dyDescent="0.25">
      <c r="A50" s="287" t="s">
        <v>697</v>
      </c>
      <c r="B50" s="288" t="s">
        <v>860</v>
      </c>
      <c r="C50" s="289">
        <f>200000+150000+11500+10000+40000+200000</f>
        <v>611500</v>
      </c>
      <c r="D50" s="289">
        <v>120000</v>
      </c>
      <c r="E50" s="289">
        <v>0</v>
      </c>
      <c r="F50" s="289">
        <v>25000</v>
      </c>
      <c r="G50" s="289">
        <f>SUM(D50:F50)</f>
        <v>145000</v>
      </c>
      <c r="H50" s="289"/>
      <c r="I50" s="289">
        <v>35000</v>
      </c>
      <c r="J50" s="289">
        <f>SUM(H50:I50)</f>
        <v>35000</v>
      </c>
      <c r="K50" s="289">
        <v>0</v>
      </c>
      <c r="L50" s="290">
        <f t="shared" si="5"/>
        <v>791500</v>
      </c>
      <c r="N50" s="287" t="s">
        <v>1646</v>
      </c>
      <c r="O50" s="1294" t="s">
        <v>1647</v>
      </c>
      <c r="P50" s="1295"/>
      <c r="Q50" s="1296"/>
      <c r="R50" s="290">
        <v>15000</v>
      </c>
    </row>
    <row r="51" spans="1:20" x14ac:dyDescent="0.25">
      <c r="A51" s="287" t="s">
        <v>858</v>
      </c>
      <c r="B51" s="288" t="s">
        <v>1640</v>
      </c>
      <c r="C51" s="289">
        <f>100000+50000+64000+130000+60000</f>
        <v>404000</v>
      </c>
      <c r="D51" s="324">
        <v>0</v>
      </c>
      <c r="E51" s="324">
        <v>0</v>
      </c>
      <c r="F51" s="324"/>
      <c r="G51" s="289">
        <f>SUM(D51:F51)</f>
        <v>0</v>
      </c>
      <c r="H51" s="289">
        <v>200000</v>
      </c>
      <c r="I51" s="289"/>
      <c r="J51" s="289">
        <f t="shared" ref="J51:J58" si="9">SUM(H51:I51)</f>
        <v>200000</v>
      </c>
      <c r="K51" s="289">
        <v>0</v>
      </c>
      <c r="L51" s="290">
        <f t="shared" si="5"/>
        <v>604000</v>
      </c>
      <c r="N51" s="287"/>
      <c r="O51" s="1294"/>
      <c r="P51" s="1295"/>
      <c r="Q51" s="1296"/>
      <c r="R51" s="290"/>
    </row>
    <row r="52" spans="1:20" ht="16.5" thickBot="1" x14ac:dyDescent="0.3">
      <c r="A52" s="287" t="s">
        <v>867</v>
      </c>
      <c r="B52" s="288" t="s">
        <v>870</v>
      </c>
      <c r="C52" s="289">
        <f>600000</f>
        <v>600000</v>
      </c>
      <c r="D52" s="324">
        <v>0</v>
      </c>
      <c r="E52" s="324">
        <v>0</v>
      </c>
      <c r="F52" s="324">
        <v>0</v>
      </c>
      <c r="G52" s="289">
        <f>SUM(D52:F52)</f>
        <v>0</v>
      </c>
      <c r="H52" s="289">
        <v>0</v>
      </c>
      <c r="I52" s="289"/>
      <c r="J52" s="289">
        <f t="shared" si="9"/>
        <v>0</v>
      </c>
      <c r="K52" s="289">
        <v>0</v>
      </c>
      <c r="L52" s="290">
        <f t="shared" si="5"/>
        <v>600000</v>
      </c>
      <c r="N52" s="318" t="s">
        <v>892</v>
      </c>
      <c r="O52" s="319"/>
      <c r="P52" s="320"/>
      <c r="Q52" s="321"/>
      <c r="R52" s="322">
        <f>SUM(R47:R51)</f>
        <v>140000</v>
      </c>
    </row>
    <row r="53" spans="1:20" ht="16.5" thickBot="1" x14ac:dyDescent="0.3">
      <c r="A53" s="287" t="s">
        <v>868</v>
      </c>
      <c r="B53" s="330" t="s">
        <v>869</v>
      </c>
      <c r="C53" s="289">
        <f>20000+20000+20000+20000+20000+20000+20000</f>
        <v>140000</v>
      </c>
      <c r="D53" s="289">
        <v>20000</v>
      </c>
      <c r="E53" s="289">
        <v>20000</v>
      </c>
      <c r="F53" s="289"/>
      <c r="G53" s="289">
        <f t="shared" ref="G53:G58" si="10">SUM(D53:F53)</f>
        <v>40000</v>
      </c>
      <c r="H53" s="289">
        <v>20000</v>
      </c>
      <c r="I53" s="289">
        <v>20000</v>
      </c>
      <c r="J53" s="289">
        <f t="shared" si="9"/>
        <v>40000</v>
      </c>
      <c r="K53" s="289">
        <v>0</v>
      </c>
      <c r="L53" s="290">
        <f t="shared" si="5"/>
        <v>220000</v>
      </c>
      <c r="N53" s="325" t="s">
        <v>635</v>
      </c>
      <c r="O53" s="323"/>
      <c r="P53" s="316"/>
      <c r="Q53" s="316"/>
      <c r="R53" s="326">
        <f>SUM(R52+R46+R35)</f>
        <v>12089057</v>
      </c>
    </row>
    <row r="54" spans="1:20" x14ac:dyDescent="0.25">
      <c r="A54" s="287" t="s">
        <v>946</v>
      </c>
      <c r="B54" s="330" t="s">
        <v>947</v>
      </c>
      <c r="C54" s="289">
        <f>900000</f>
        <v>900000</v>
      </c>
      <c r="D54" s="289"/>
      <c r="E54" s="289">
        <v>0</v>
      </c>
      <c r="F54" s="289"/>
      <c r="G54" s="289">
        <v>0</v>
      </c>
      <c r="H54" s="289"/>
      <c r="I54" s="289"/>
      <c r="J54" s="289">
        <v>0</v>
      </c>
      <c r="K54" s="289">
        <v>0</v>
      </c>
      <c r="L54" s="290">
        <f t="shared" si="5"/>
        <v>900000</v>
      </c>
      <c r="N54" s="327"/>
      <c r="O54" s="328"/>
      <c r="P54" s="297"/>
      <c r="Q54" s="297"/>
      <c r="R54" s="329"/>
    </row>
    <row r="55" spans="1:20" x14ac:dyDescent="0.25">
      <c r="A55" s="287" t="s">
        <v>871</v>
      </c>
      <c r="B55" s="288" t="s">
        <v>872</v>
      </c>
      <c r="C55" s="289">
        <f>100000</f>
        <v>100000</v>
      </c>
      <c r="D55" s="289">
        <v>0</v>
      </c>
      <c r="E55" s="289">
        <v>0</v>
      </c>
      <c r="F55" s="289"/>
      <c r="G55" s="289">
        <f t="shared" si="10"/>
        <v>0</v>
      </c>
      <c r="H55" s="289"/>
      <c r="I55" s="289"/>
      <c r="J55" s="289">
        <f t="shared" si="9"/>
        <v>0</v>
      </c>
      <c r="K55" s="289">
        <v>0</v>
      </c>
      <c r="L55" s="290">
        <f t="shared" si="5"/>
        <v>100000</v>
      </c>
    </row>
    <row r="56" spans="1:20" x14ac:dyDescent="0.25">
      <c r="A56" s="306" t="s">
        <v>1525</v>
      </c>
      <c r="B56" s="288" t="s">
        <v>969</v>
      </c>
      <c r="C56" s="308">
        <f>2500000</f>
        <v>2500000</v>
      </c>
      <c r="D56" s="308"/>
      <c r="E56" s="308">
        <v>0</v>
      </c>
      <c r="F56" s="308"/>
      <c r="G56" s="308"/>
      <c r="H56" s="308">
        <v>0</v>
      </c>
      <c r="I56" s="308"/>
      <c r="J56" s="289">
        <f t="shared" si="9"/>
        <v>0</v>
      </c>
      <c r="K56" s="308">
        <v>0</v>
      </c>
      <c r="L56" s="290">
        <f t="shared" si="5"/>
        <v>2500000</v>
      </c>
    </row>
    <row r="57" spans="1:20" x14ac:dyDescent="0.25">
      <c r="A57" s="306" t="s">
        <v>1636</v>
      </c>
      <c r="B57" s="307" t="s">
        <v>1635</v>
      </c>
      <c r="C57" s="308">
        <v>1000000</v>
      </c>
      <c r="D57" s="308"/>
      <c r="E57" s="308"/>
      <c r="F57" s="308"/>
      <c r="G57" s="308">
        <v>0</v>
      </c>
      <c r="H57" s="308"/>
      <c r="I57" s="308"/>
      <c r="J57" s="308">
        <v>0</v>
      </c>
      <c r="K57" s="308">
        <v>0</v>
      </c>
      <c r="L57" s="290">
        <f t="shared" si="5"/>
        <v>1000000</v>
      </c>
    </row>
    <row r="58" spans="1:20" ht="16.5" thickBot="1" x14ac:dyDescent="0.3">
      <c r="A58" s="306" t="s">
        <v>862</v>
      </c>
      <c r="B58" s="332" t="s">
        <v>864</v>
      </c>
      <c r="C58" s="308">
        <f>200000+10000+15000+50000</f>
        <v>275000</v>
      </c>
      <c r="D58" s="317">
        <v>50000</v>
      </c>
      <c r="E58" s="317">
        <v>50000</v>
      </c>
      <c r="F58" s="317"/>
      <c r="G58" s="308">
        <f t="shared" si="10"/>
        <v>100000</v>
      </c>
      <c r="H58" s="308"/>
      <c r="I58" s="308">
        <v>65000</v>
      </c>
      <c r="J58" s="308">
        <f t="shared" si="9"/>
        <v>65000</v>
      </c>
      <c r="K58" s="308">
        <v>0</v>
      </c>
      <c r="L58" s="290">
        <f t="shared" si="5"/>
        <v>440000</v>
      </c>
    </row>
    <row r="59" spans="1:20" ht="16.5" thickBot="1" x14ac:dyDescent="0.3">
      <c r="A59" s="309" t="s">
        <v>892</v>
      </c>
      <c r="B59" s="334"/>
      <c r="C59" s="311">
        <f t="shared" ref="C59:L59" si="11">SUM(C49:C58)</f>
        <v>6530500</v>
      </c>
      <c r="D59" s="311">
        <f t="shared" si="11"/>
        <v>190000</v>
      </c>
      <c r="E59" s="311">
        <f t="shared" si="11"/>
        <v>70000</v>
      </c>
      <c r="F59" s="311">
        <f t="shared" si="11"/>
        <v>25000</v>
      </c>
      <c r="G59" s="311">
        <f t="shared" si="11"/>
        <v>285000</v>
      </c>
      <c r="H59" s="311">
        <f t="shared" si="11"/>
        <v>220000</v>
      </c>
      <c r="I59" s="311">
        <f t="shared" si="11"/>
        <v>120000</v>
      </c>
      <c r="J59" s="311">
        <f t="shared" si="11"/>
        <v>340000</v>
      </c>
      <c r="K59" s="311">
        <f t="shared" si="11"/>
        <v>0</v>
      </c>
      <c r="L59" s="312">
        <f t="shared" si="11"/>
        <v>7155500</v>
      </c>
      <c r="P59" s="331"/>
    </row>
    <row r="60" spans="1:20" x14ac:dyDescent="0.25">
      <c r="A60" s="335" t="s">
        <v>810</v>
      </c>
      <c r="B60" s="313">
        <v>1181</v>
      </c>
      <c r="C60" s="314">
        <v>0</v>
      </c>
      <c r="D60" s="305">
        <v>0</v>
      </c>
      <c r="E60" s="305"/>
      <c r="F60" s="305"/>
      <c r="G60" s="305">
        <v>950000</v>
      </c>
      <c r="H60" s="305"/>
      <c r="I60" s="305"/>
      <c r="J60" s="314">
        <v>0</v>
      </c>
      <c r="K60" s="314">
        <v>0</v>
      </c>
      <c r="L60" s="305">
        <f t="shared" si="5"/>
        <v>950000</v>
      </c>
      <c r="N60" s="284" t="s">
        <v>16</v>
      </c>
      <c r="Q60" s="333" t="s">
        <v>264</v>
      </c>
      <c r="R60" s="275"/>
      <c r="S60" s="291"/>
    </row>
    <row r="61" spans="1:20" x14ac:dyDescent="0.25">
      <c r="A61" s="336" t="s">
        <v>811</v>
      </c>
      <c r="B61" s="288">
        <v>1191</v>
      </c>
      <c r="C61" s="289">
        <v>0</v>
      </c>
      <c r="D61" s="290">
        <v>0</v>
      </c>
      <c r="E61" s="290"/>
      <c r="F61" s="290"/>
      <c r="G61" s="290">
        <v>350000</v>
      </c>
      <c r="H61" s="290"/>
      <c r="I61" s="290"/>
      <c r="J61" s="289">
        <v>0</v>
      </c>
      <c r="K61" s="289">
        <v>0</v>
      </c>
      <c r="L61" s="290">
        <f t="shared" si="5"/>
        <v>350000</v>
      </c>
      <c r="S61" s="337"/>
    </row>
    <row r="62" spans="1:20" s="284" customFormat="1" x14ac:dyDescent="0.25">
      <c r="A62" s="336" t="s">
        <v>812</v>
      </c>
      <c r="B62" s="288">
        <v>1158</v>
      </c>
      <c r="C62" s="290">
        <v>70000</v>
      </c>
      <c r="D62" s="289">
        <v>0</v>
      </c>
      <c r="E62" s="289"/>
      <c r="F62" s="289"/>
      <c r="G62" s="289">
        <v>0</v>
      </c>
      <c r="H62" s="289"/>
      <c r="I62" s="289"/>
      <c r="J62" s="289">
        <v>0</v>
      </c>
      <c r="K62" s="289">
        <v>0</v>
      </c>
      <c r="L62" s="290">
        <f t="shared" si="5"/>
        <v>70000</v>
      </c>
      <c r="N62" s="274"/>
      <c r="Q62" s="274"/>
      <c r="R62" s="274"/>
      <c r="S62" s="274"/>
      <c r="T62" s="274"/>
    </row>
    <row r="63" spans="1:20" x14ac:dyDescent="0.25">
      <c r="A63" s="336" t="s">
        <v>813</v>
      </c>
      <c r="B63" s="288">
        <v>1111</v>
      </c>
      <c r="C63" s="289">
        <v>0</v>
      </c>
      <c r="D63" s="289">
        <v>0</v>
      </c>
      <c r="E63" s="289"/>
      <c r="F63" s="289"/>
      <c r="G63" s="289">
        <v>0</v>
      </c>
      <c r="H63" s="289"/>
      <c r="I63" s="289"/>
      <c r="J63" s="289">
        <v>0</v>
      </c>
      <c r="K63" s="290">
        <v>70000</v>
      </c>
      <c r="L63" s="290">
        <f t="shared" si="5"/>
        <v>70000</v>
      </c>
      <c r="N63" s="946" t="s">
        <v>17</v>
      </c>
      <c r="O63" s="1285" t="s">
        <v>809</v>
      </c>
      <c r="P63" s="1285"/>
      <c r="Q63" s="1285" t="s">
        <v>1664</v>
      </c>
      <c r="R63" s="1285"/>
    </row>
    <row r="64" spans="1:20" x14ac:dyDescent="0.25">
      <c r="A64" s="336" t="s">
        <v>814</v>
      </c>
      <c r="B64" s="288" t="s">
        <v>273</v>
      </c>
      <c r="C64" s="290">
        <v>33000</v>
      </c>
      <c r="D64" s="289">
        <v>0</v>
      </c>
      <c r="E64" s="289"/>
      <c r="F64" s="289"/>
      <c r="G64" s="289">
        <v>0</v>
      </c>
      <c r="H64" s="289"/>
      <c r="I64" s="289"/>
      <c r="J64" s="289">
        <v>0</v>
      </c>
      <c r="K64" s="289">
        <v>0</v>
      </c>
      <c r="L64" s="290">
        <f t="shared" si="5"/>
        <v>33000</v>
      </c>
      <c r="N64" s="947" t="s">
        <v>18</v>
      </c>
      <c r="O64" s="1286" t="s">
        <v>248</v>
      </c>
      <c r="P64" s="1286"/>
      <c r="Q64" s="1286" t="s">
        <v>14</v>
      </c>
      <c r="R64" s="1286"/>
    </row>
    <row r="65" spans="1:261" x14ac:dyDescent="0.25">
      <c r="A65" s="336" t="s">
        <v>815</v>
      </c>
      <c r="B65" s="288" t="s">
        <v>28</v>
      </c>
      <c r="C65" s="290">
        <v>33000</v>
      </c>
      <c r="D65" s="289">
        <v>0</v>
      </c>
      <c r="E65" s="289"/>
      <c r="F65" s="289"/>
      <c r="G65" s="289">
        <v>0</v>
      </c>
      <c r="H65" s="289"/>
      <c r="I65" s="289"/>
      <c r="J65" s="289">
        <v>0</v>
      </c>
      <c r="K65" s="289">
        <v>0</v>
      </c>
      <c r="L65" s="290">
        <f t="shared" si="5"/>
        <v>33000</v>
      </c>
    </row>
    <row r="66" spans="1:261" x14ac:dyDescent="0.25">
      <c r="A66" s="336" t="s">
        <v>819</v>
      </c>
      <c r="B66" s="288" t="s">
        <v>29</v>
      </c>
      <c r="C66" s="289">
        <v>0</v>
      </c>
      <c r="D66" s="289">
        <v>0</v>
      </c>
      <c r="E66" s="289"/>
      <c r="F66" s="289"/>
      <c r="G66" s="289">
        <v>0</v>
      </c>
      <c r="H66" s="289"/>
      <c r="I66" s="289"/>
      <c r="J66" s="289">
        <v>0</v>
      </c>
      <c r="K66" s="290">
        <v>200000</v>
      </c>
      <c r="L66" s="290">
        <f t="shared" si="5"/>
        <v>200000</v>
      </c>
    </row>
    <row r="67" spans="1:261" x14ac:dyDescent="0.25">
      <c r="A67" s="336" t="s">
        <v>821</v>
      </c>
      <c r="B67" s="288" t="s">
        <v>30</v>
      </c>
      <c r="C67" s="289">
        <v>0</v>
      </c>
      <c r="D67" s="289">
        <v>0</v>
      </c>
      <c r="E67" s="289"/>
      <c r="F67" s="289"/>
      <c r="G67" s="289">
        <v>0</v>
      </c>
      <c r="H67" s="289"/>
      <c r="I67" s="289"/>
      <c r="J67" s="289">
        <v>0</v>
      </c>
      <c r="K67" s="290">
        <v>196000</v>
      </c>
      <c r="L67" s="290">
        <f t="shared" si="5"/>
        <v>196000</v>
      </c>
      <c r="M67" s="338"/>
      <c r="U67" s="338"/>
      <c r="V67" s="338"/>
      <c r="W67" s="338"/>
      <c r="X67" s="338"/>
      <c r="Y67" s="338"/>
      <c r="Z67" s="338"/>
      <c r="AA67" s="338"/>
      <c r="AB67" s="338"/>
      <c r="AC67" s="338"/>
      <c r="AD67" s="338"/>
      <c r="AE67" s="338"/>
      <c r="AF67" s="338"/>
      <c r="AG67" s="338"/>
      <c r="AH67" s="338"/>
      <c r="AI67" s="338"/>
      <c r="AJ67" s="338"/>
      <c r="AK67" s="338"/>
      <c r="AL67" s="338"/>
      <c r="AM67" s="338"/>
      <c r="AN67" s="338"/>
      <c r="AO67" s="338"/>
      <c r="AP67" s="338"/>
      <c r="AQ67" s="338"/>
      <c r="AR67" s="338"/>
      <c r="AS67" s="338"/>
      <c r="AT67" s="338"/>
      <c r="AU67" s="338"/>
      <c r="AV67" s="338"/>
      <c r="AW67" s="338"/>
      <c r="AX67" s="338"/>
      <c r="AY67" s="338"/>
      <c r="AZ67" s="338"/>
      <c r="BA67" s="338"/>
      <c r="BB67" s="338"/>
      <c r="BC67" s="338"/>
      <c r="BD67" s="338"/>
      <c r="BE67" s="338"/>
      <c r="BF67" s="338"/>
      <c r="BG67" s="338"/>
      <c r="BH67" s="338"/>
      <c r="BI67" s="338"/>
      <c r="BJ67" s="338"/>
      <c r="BK67" s="338"/>
      <c r="BL67" s="338"/>
      <c r="BM67" s="338"/>
      <c r="BN67" s="338"/>
      <c r="BO67" s="338"/>
      <c r="BP67" s="338"/>
      <c r="BQ67" s="338"/>
      <c r="BR67" s="338"/>
      <c r="BS67" s="338"/>
      <c r="BT67" s="338"/>
      <c r="BU67" s="338"/>
      <c r="BV67" s="338"/>
      <c r="BW67" s="338"/>
      <c r="BX67" s="338"/>
      <c r="BY67" s="338"/>
      <c r="BZ67" s="338"/>
      <c r="CA67" s="338"/>
      <c r="CB67" s="338"/>
      <c r="CC67" s="338"/>
      <c r="CD67" s="338"/>
      <c r="CE67" s="338"/>
      <c r="CF67" s="338"/>
      <c r="CG67" s="338"/>
      <c r="CH67" s="338"/>
      <c r="CI67" s="338"/>
      <c r="CJ67" s="338"/>
      <c r="CK67" s="338"/>
      <c r="CL67" s="338"/>
      <c r="CM67" s="338"/>
      <c r="CN67" s="338"/>
      <c r="CO67" s="338"/>
      <c r="CP67" s="338"/>
      <c r="CQ67" s="338"/>
      <c r="CR67" s="338"/>
      <c r="CS67" s="338"/>
      <c r="CT67" s="338"/>
      <c r="CU67" s="338"/>
      <c r="CV67" s="338"/>
      <c r="CW67" s="338"/>
      <c r="CX67" s="338"/>
      <c r="CY67" s="338"/>
      <c r="CZ67" s="338"/>
      <c r="DA67" s="338"/>
      <c r="DB67" s="338"/>
      <c r="DC67" s="338"/>
      <c r="DD67" s="338"/>
      <c r="DE67" s="338"/>
      <c r="DF67" s="338"/>
      <c r="DG67" s="338"/>
      <c r="DH67" s="338"/>
      <c r="DI67" s="338"/>
      <c r="DJ67" s="338"/>
      <c r="DK67" s="338"/>
      <c r="DL67" s="338"/>
      <c r="DM67" s="338"/>
      <c r="DN67" s="338"/>
      <c r="DO67" s="338"/>
      <c r="DP67" s="338"/>
      <c r="DQ67" s="338"/>
      <c r="DR67" s="338"/>
      <c r="DS67" s="338"/>
      <c r="DT67" s="338"/>
      <c r="DU67" s="338"/>
      <c r="DV67" s="338"/>
      <c r="DW67" s="338"/>
      <c r="DX67" s="338"/>
      <c r="DY67" s="338"/>
      <c r="DZ67" s="338"/>
      <c r="EA67" s="338"/>
      <c r="EB67" s="338"/>
      <c r="EC67" s="338"/>
      <c r="ED67" s="338"/>
      <c r="EE67" s="338"/>
      <c r="EF67" s="338"/>
      <c r="EG67" s="338"/>
      <c r="EH67" s="338"/>
      <c r="EI67" s="338"/>
      <c r="EJ67" s="338"/>
      <c r="EK67" s="338"/>
      <c r="EL67" s="338"/>
      <c r="EM67" s="338"/>
      <c r="EN67" s="338"/>
      <c r="EO67" s="338"/>
      <c r="EP67" s="338"/>
      <c r="EQ67" s="338"/>
      <c r="ER67" s="338"/>
      <c r="ES67" s="338"/>
      <c r="ET67" s="338"/>
      <c r="EU67" s="338"/>
      <c r="EV67" s="338"/>
      <c r="EW67" s="338"/>
      <c r="EX67" s="338"/>
      <c r="EY67" s="338"/>
      <c r="EZ67" s="338"/>
      <c r="FA67" s="338"/>
      <c r="FB67" s="338"/>
      <c r="FC67" s="338"/>
      <c r="FD67" s="338"/>
      <c r="FE67" s="338"/>
      <c r="FF67" s="338"/>
      <c r="FG67" s="338"/>
      <c r="FH67" s="338"/>
      <c r="FI67" s="338"/>
      <c r="FJ67" s="338"/>
      <c r="FK67" s="338"/>
      <c r="FL67" s="338"/>
      <c r="FM67" s="338"/>
      <c r="FN67" s="338"/>
      <c r="FO67" s="338"/>
      <c r="FP67" s="338"/>
      <c r="FQ67" s="338"/>
      <c r="FR67" s="338"/>
      <c r="FS67" s="338"/>
      <c r="FT67" s="338"/>
      <c r="FU67" s="338"/>
      <c r="FV67" s="338"/>
      <c r="FW67" s="338"/>
      <c r="FX67" s="338"/>
      <c r="FY67" s="338"/>
      <c r="FZ67" s="338"/>
      <c r="GA67" s="338"/>
      <c r="GB67" s="338"/>
      <c r="GC67" s="338"/>
      <c r="GD67" s="338"/>
      <c r="GE67" s="338"/>
      <c r="GF67" s="338"/>
      <c r="GG67" s="338"/>
      <c r="GH67" s="338"/>
      <c r="GI67" s="338"/>
      <c r="GJ67" s="338"/>
      <c r="GK67" s="338"/>
      <c r="GL67" s="338"/>
      <c r="GM67" s="338"/>
      <c r="GN67" s="338"/>
      <c r="GO67" s="338"/>
      <c r="GP67" s="338"/>
      <c r="GQ67" s="338"/>
      <c r="GR67" s="338"/>
      <c r="GS67" s="338"/>
      <c r="GT67" s="338"/>
      <c r="GU67" s="338"/>
      <c r="GV67" s="338"/>
      <c r="GW67" s="338"/>
      <c r="GX67" s="338"/>
      <c r="GY67" s="338"/>
      <c r="GZ67" s="338"/>
      <c r="HA67" s="338"/>
      <c r="HB67" s="338"/>
      <c r="HC67" s="338"/>
      <c r="HD67" s="338"/>
      <c r="HE67" s="338"/>
      <c r="HF67" s="338"/>
      <c r="HG67" s="338"/>
      <c r="HH67" s="338"/>
      <c r="HI67" s="338"/>
      <c r="HJ67" s="338"/>
      <c r="HK67" s="338"/>
      <c r="HL67" s="338"/>
      <c r="HM67" s="338"/>
      <c r="HN67" s="338"/>
      <c r="HO67" s="338"/>
      <c r="HP67" s="338"/>
      <c r="HQ67" s="338"/>
      <c r="HR67" s="338"/>
      <c r="HS67" s="338"/>
      <c r="HT67" s="338"/>
      <c r="HU67" s="338"/>
      <c r="HV67" s="338"/>
      <c r="HW67" s="338"/>
      <c r="HX67" s="338"/>
      <c r="HY67" s="338"/>
      <c r="HZ67" s="338"/>
      <c r="IA67" s="338"/>
      <c r="IB67" s="338"/>
      <c r="IC67" s="338"/>
      <c r="ID67" s="338"/>
      <c r="IE67" s="338"/>
      <c r="IF67" s="338"/>
      <c r="IG67" s="338"/>
      <c r="IH67" s="338"/>
      <c r="II67" s="338"/>
      <c r="IJ67" s="338"/>
      <c r="IK67" s="338"/>
      <c r="IL67" s="338"/>
      <c r="IM67" s="338"/>
      <c r="IN67" s="338"/>
      <c r="IO67" s="338"/>
      <c r="IP67" s="338"/>
      <c r="IQ67" s="338"/>
      <c r="IR67" s="338"/>
      <c r="IS67" s="338"/>
      <c r="IT67" s="338"/>
      <c r="IU67" s="338"/>
      <c r="IV67" s="338"/>
      <c r="IW67" s="338"/>
      <c r="IX67" s="338"/>
      <c r="IY67" s="338"/>
      <c r="IZ67" s="338"/>
      <c r="JA67" s="338"/>
    </row>
    <row r="68" spans="1:261" x14ac:dyDescent="0.25">
      <c r="A68" s="339"/>
      <c r="B68" s="340"/>
      <c r="C68" s="341"/>
      <c r="D68" s="341"/>
      <c r="E68" s="341"/>
      <c r="F68" s="341"/>
      <c r="G68" s="341"/>
      <c r="H68" s="341"/>
      <c r="I68" s="341"/>
      <c r="J68" s="341"/>
      <c r="K68" s="342"/>
      <c r="L68" s="342"/>
      <c r="M68" s="297"/>
      <c r="U68" s="297"/>
      <c r="V68" s="297"/>
      <c r="W68" s="297"/>
      <c r="X68" s="297"/>
      <c r="Y68" s="297"/>
      <c r="Z68" s="297"/>
      <c r="AA68" s="297"/>
      <c r="AB68" s="297"/>
      <c r="AC68" s="297"/>
      <c r="AD68" s="297"/>
      <c r="AE68" s="297"/>
      <c r="AF68" s="297"/>
      <c r="AG68" s="297"/>
      <c r="AH68" s="297"/>
      <c r="AI68" s="297"/>
      <c r="AJ68" s="297"/>
      <c r="AK68" s="297"/>
      <c r="AL68" s="297"/>
      <c r="AM68" s="297"/>
      <c r="AN68" s="297"/>
      <c r="AO68" s="297"/>
      <c r="AP68" s="297"/>
      <c r="AQ68" s="297"/>
      <c r="AR68" s="297"/>
      <c r="AS68" s="297"/>
      <c r="AT68" s="297"/>
      <c r="AU68" s="297"/>
      <c r="AV68" s="297"/>
      <c r="AW68" s="297"/>
      <c r="AX68" s="297"/>
      <c r="AY68" s="297"/>
      <c r="AZ68" s="297"/>
      <c r="BA68" s="297"/>
      <c r="BB68" s="297"/>
      <c r="BC68" s="297"/>
      <c r="BD68" s="297"/>
      <c r="BE68" s="297"/>
      <c r="BF68" s="297"/>
      <c r="BG68" s="297"/>
      <c r="BH68" s="297"/>
      <c r="BI68" s="297"/>
      <c r="BJ68" s="297"/>
      <c r="BK68" s="297"/>
      <c r="BL68" s="297"/>
      <c r="BM68" s="297"/>
      <c r="BN68" s="297"/>
      <c r="BO68" s="297"/>
      <c r="BP68" s="297"/>
      <c r="BQ68" s="297"/>
      <c r="BR68" s="297"/>
      <c r="BS68" s="297"/>
      <c r="BT68" s="297"/>
      <c r="BU68" s="297"/>
      <c r="BV68" s="297"/>
      <c r="BW68" s="297"/>
      <c r="BX68" s="297"/>
      <c r="BY68" s="297"/>
      <c r="BZ68" s="297"/>
      <c r="CA68" s="297"/>
      <c r="CB68" s="297"/>
      <c r="CC68" s="297"/>
      <c r="CD68" s="297"/>
      <c r="CE68" s="297"/>
      <c r="CF68" s="297"/>
      <c r="CG68" s="297"/>
      <c r="CH68" s="297"/>
      <c r="CI68" s="297"/>
      <c r="CJ68" s="297"/>
      <c r="CK68" s="297"/>
      <c r="CL68" s="297"/>
      <c r="CM68" s="297"/>
      <c r="CN68" s="297"/>
      <c r="CO68" s="297"/>
      <c r="CP68" s="297"/>
      <c r="CQ68" s="297"/>
      <c r="CR68" s="297"/>
      <c r="CS68" s="297"/>
      <c r="CT68" s="297"/>
      <c r="CU68" s="297"/>
      <c r="CV68" s="297"/>
      <c r="CW68" s="297"/>
      <c r="CX68" s="297"/>
      <c r="CY68" s="297"/>
      <c r="CZ68" s="297"/>
      <c r="DA68" s="297"/>
      <c r="DB68" s="297"/>
      <c r="DC68" s="297"/>
      <c r="DD68" s="297"/>
      <c r="DE68" s="297"/>
      <c r="DF68" s="297"/>
      <c r="DG68" s="297"/>
      <c r="DH68" s="297"/>
      <c r="DI68" s="297"/>
      <c r="DJ68" s="297"/>
      <c r="DK68" s="297"/>
      <c r="DL68" s="297"/>
      <c r="DM68" s="297"/>
      <c r="DN68" s="297"/>
      <c r="DO68" s="297"/>
      <c r="DP68" s="297"/>
      <c r="DQ68" s="297"/>
      <c r="DR68" s="297"/>
      <c r="DS68" s="297"/>
      <c r="DT68" s="297"/>
      <c r="DU68" s="297"/>
      <c r="DV68" s="297"/>
      <c r="DW68" s="297"/>
      <c r="DX68" s="297"/>
      <c r="DY68" s="297"/>
      <c r="DZ68" s="297"/>
      <c r="EA68" s="297"/>
      <c r="EB68" s="297"/>
      <c r="EC68" s="297"/>
      <c r="ED68" s="297"/>
      <c r="EE68" s="297"/>
      <c r="EF68" s="297"/>
      <c r="EG68" s="297"/>
      <c r="EH68" s="297"/>
      <c r="EI68" s="297"/>
      <c r="EJ68" s="297"/>
      <c r="EK68" s="297"/>
      <c r="EL68" s="297"/>
      <c r="EM68" s="297"/>
      <c r="EN68" s="297"/>
      <c r="EO68" s="297"/>
      <c r="EP68" s="297"/>
      <c r="EQ68" s="297"/>
      <c r="ER68" s="297"/>
      <c r="ES68" s="297"/>
      <c r="ET68" s="297"/>
      <c r="EU68" s="297"/>
      <c r="EV68" s="297"/>
      <c r="EW68" s="297"/>
      <c r="EX68" s="297"/>
      <c r="EY68" s="297"/>
      <c r="EZ68" s="297"/>
      <c r="FA68" s="297"/>
      <c r="FB68" s="297"/>
      <c r="FC68" s="297"/>
      <c r="FD68" s="297"/>
      <c r="FE68" s="297"/>
      <c r="FF68" s="297"/>
      <c r="FG68" s="297"/>
      <c r="FH68" s="297"/>
      <c r="FI68" s="297"/>
      <c r="FJ68" s="297"/>
      <c r="FK68" s="297"/>
      <c r="FL68" s="297"/>
      <c r="FM68" s="297"/>
      <c r="FN68" s="297"/>
      <c r="FO68" s="297"/>
      <c r="FP68" s="297"/>
      <c r="FQ68" s="297"/>
      <c r="FR68" s="297"/>
      <c r="FS68" s="297"/>
      <c r="FT68" s="297"/>
      <c r="FU68" s="297"/>
      <c r="FV68" s="297"/>
      <c r="FW68" s="297"/>
      <c r="FX68" s="297"/>
      <c r="FY68" s="297"/>
      <c r="FZ68" s="297"/>
      <c r="GA68" s="297"/>
      <c r="GB68" s="297"/>
      <c r="GC68" s="297"/>
      <c r="GD68" s="297"/>
      <c r="GE68" s="297"/>
      <c r="GF68" s="297"/>
      <c r="GG68" s="297"/>
      <c r="GH68" s="297"/>
      <c r="GI68" s="297"/>
      <c r="GJ68" s="297"/>
      <c r="GK68" s="297"/>
      <c r="GL68" s="297"/>
      <c r="GM68" s="297"/>
      <c r="GN68" s="297"/>
      <c r="GO68" s="297"/>
      <c r="GP68" s="297"/>
      <c r="GQ68" s="297"/>
      <c r="GR68" s="297"/>
      <c r="GS68" s="297"/>
      <c r="GT68" s="297"/>
      <c r="GU68" s="297"/>
      <c r="GV68" s="297"/>
      <c r="GW68" s="297"/>
      <c r="GX68" s="297"/>
      <c r="GY68" s="297"/>
      <c r="GZ68" s="297"/>
      <c r="HA68" s="297"/>
      <c r="HB68" s="297"/>
      <c r="HC68" s="297"/>
      <c r="HD68" s="297"/>
      <c r="HE68" s="297"/>
      <c r="HF68" s="297"/>
      <c r="HG68" s="297"/>
      <c r="HH68" s="297"/>
      <c r="HI68" s="297"/>
      <c r="HJ68" s="297"/>
      <c r="HK68" s="297"/>
      <c r="HL68" s="297"/>
      <c r="HM68" s="297"/>
      <c r="HN68" s="297"/>
      <c r="HO68" s="297"/>
      <c r="HP68" s="297"/>
      <c r="HQ68" s="297"/>
      <c r="HR68" s="297"/>
      <c r="HS68" s="297"/>
      <c r="HT68" s="297"/>
      <c r="HU68" s="297"/>
      <c r="HV68" s="297"/>
      <c r="HW68" s="297"/>
      <c r="HX68" s="297"/>
      <c r="HY68" s="297"/>
      <c r="HZ68" s="297"/>
      <c r="IA68" s="297"/>
      <c r="IB68" s="297"/>
      <c r="IC68" s="297"/>
      <c r="ID68" s="297"/>
      <c r="IE68" s="297"/>
      <c r="IF68" s="297"/>
      <c r="IG68" s="297"/>
      <c r="IH68" s="297"/>
      <c r="II68" s="297"/>
      <c r="IJ68" s="297"/>
      <c r="IK68" s="297"/>
      <c r="IL68" s="297"/>
      <c r="IM68" s="297"/>
      <c r="IN68" s="297"/>
      <c r="IO68" s="297"/>
      <c r="IP68" s="297"/>
      <c r="IQ68" s="297"/>
      <c r="IR68" s="297"/>
      <c r="IS68" s="297"/>
      <c r="IT68" s="297"/>
      <c r="IU68" s="297"/>
      <c r="IV68" s="297"/>
      <c r="IW68" s="297"/>
      <c r="IX68" s="297"/>
      <c r="IY68" s="297"/>
      <c r="IZ68" s="297"/>
      <c r="JA68" s="297"/>
    </row>
    <row r="69" spans="1:261" x14ac:dyDescent="0.25">
      <c r="A69" s="339"/>
      <c r="B69" s="340"/>
      <c r="C69" s="341"/>
      <c r="D69" s="341"/>
      <c r="E69" s="341"/>
      <c r="F69" s="341"/>
      <c r="G69" s="341"/>
      <c r="H69" s="341"/>
      <c r="I69" s="341"/>
      <c r="J69" s="341"/>
      <c r="K69" s="342"/>
      <c r="L69" s="342"/>
      <c r="M69" s="297"/>
      <c r="U69" s="297"/>
      <c r="V69" s="297"/>
      <c r="W69" s="297"/>
      <c r="X69" s="297"/>
      <c r="Y69" s="297"/>
      <c r="Z69" s="297"/>
      <c r="AA69" s="297"/>
      <c r="AB69" s="297"/>
      <c r="AC69" s="297"/>
      <c r="AD69" s="297"/>
      <c r="AE69" s="297"/>
      <c r="AF69" s="297"/>
      <c r="AG69" s="297"/>
      <c r="AH69" s="297"/>
      <c r="AI69" s="297"/>
      <c r="AJ69" s="297"/>
      <c r="AK69" s="297"/>
      <c r="AL69" s="297"/>
      <c r="AM69" s="297"/>
      <c r="AN69" s="297"/>
      <c r="AO69" s="297"/>
      <c r="AP69" s="297"/>
      <c r="AQ69" s="297"/>
      <c r="AR69" s="297"/>
      <c r="AS69" s="297"/>
      <c r="AT69" s="297"/>
      <c r="AU69" s="297"/>
      <c r="AV69" s="297"/>
      <c r="AW69" s="297"/>
      <c r="AX69" s="297"/>
      <c r="AY69" s="297"/>
      <c r="AZ69" s="297"/>
      <c r="BA69" s="297"/>
      <c r="BB69" s="297"/>
      <c r="BC69" s="297"/>
      <c r="BD69" s="297"/>
      <c r="BE69" s="297"/>
      <c r="BF69" s="297"/>
      <c r="BG69" s="297"/>
      <c r="BH69" s="297"/>
      <c r="BI69" s="297"/>
      <c r="BJ69" s="297"/>
      <c r="BK69" s="297"/>
      <c r="BL69" s="297"/>
      <c r="BM69" s="297"/>
      <c r="BN69" s="297"/>
      <c r="BO69" s="297"/>
      <c r="BP69" s="297"/>
      <c r="BQ69" s="297"/>
      <c r="BR69" s="297"/>
      <c r="BS69" s="297"/>
      <c r="BT69" s="297"/>
      <c r="BU69" s="297"/>
      <c r="BV69" s="297"/>
      <c r="BW69" s="297"/>
      <c r="BX69" s="297"/>
      <c r="BY69" s="297"/>
      <c r="BZ69" s="297"/>
      <c r="CA69" s="297"/>
      <c r="CB69" s="297"/>
      <c r="CC69" s="297"/>
      <c r="CD69" s="297"/>
      <c r="CE69" s="297"/>
      <c r="CF69" s="297"/>
      <c r="CG69" s="297"/>
      <c r="CH69" s="297"/>
      <c r="CI69" s="297"/>
      <c r="CJ69" s="297"/>
      <c r="CK69" s="297"/>
      <c r="CL69" s="297"/>
      <c r="CM69" s="297"/>
      <c r="CN69" s="297"/>
      <c r="CO69" s="297"/>
      <c r="CP69" s="297"/>
      <c r="CQ69" s="297"/>
      <c r="CR69" s="297"/>
      <c r="CS69" s="297"/>
      <c r="CT69" s="297"/>
      <c r="CU69" s="297"/>
      <c r="CV69" s="297"/>
      <c r="CW69" s="297"/>
      <c r="CX69" s="297"/>
      <c r="CY69" s="297"/>
      <c r="CZ69" s="297"/>
      <c r="DA69" s="297"/>
      <c r="DB69" s="297"/>
      <c r="DC69" s="297"/>
      <c r="DD69" s="297"/>
      <c r="DE69" s="297"/>
      <c r="DF69" s="297"/>
      <c r="DG69" s="297"/>
      <c r="DH69" s="297"/>
      <c r="DI69" s="297"/>
      <c r="DJ69" s="297"/>
      <c r="DK69" s="297"/>
      <c r="DL69" s="297"/>
      <c r="DM69" s="297"/>
      <c r="DN69" s="297"/>
      <c r="DO69" s="297"/>
      <c r="DP69" s="297"/>
      <c r="DQ69" s="297"/>
      <c r="DR69" s="297"/>
      <c r="DS69" s="297"/>
      <c r="DT69" s="297"/>
      <c r="DU69" s="297"/>
      <c r="DV69" s="297"/>
      <c r="DW69" s="297"/>
      <c r="DX69" s="297"/>
      <c r="DY69" s="297"/>
      <c r="DZ69" s="297"/>
      <c r="EA69" s="297"/>
      <c r="EB69" s="297"/>
      <c r="EC69" s="297"/>
      <c r="ED69" s="297"/>
      <c r="EE69" s="297"/>
      <c r="EF69" s="297"/>
      <c r="EG69" s="297"/>
      <c r="EH69" s="297"/>
      <c r="EI69" s="297"/>
      <c r="EJ69" s="297"/>
      <c r="EK69" s="297"/>
      <c r="EL69" s="297"/>
      <c r="EM69" s="297"/>
      <c r="EN69" s="297"/>
      <c r="EO69" s="297"/>
      <c r="EP69" s="297"/>
      <c r="EQ69" s="297"/>
      <c r="ER69" s="297"/>
      <c r="ES69" s="297"/>
      <c r="ET69" s="297"/>
      <c r="EU69" s="297"/>
      <c r="EV69" s="297"/>
      <c r="EW69" s="297"/>
      <c r="EX69" s="297"/>
      <c r="EY69" s="297"/>
      <c r="EZ69" s="297"/>
      <c r="FA69" s="297"/>
      <c r="FB69" s="297"/>
      <c r="FC69" s="297"/>
      <c r="FD69" s="297"/>
      <c r="FE69" s="297"/>
      <c r="FF69" s="297"/>
      <c r="FG69" s="297"/>
      <c r="FH69" s="297"/>
      <c r="FI69" s="297"/>
      <c r="FJ69" s="297"/>
      <c r="FK69" s="297"/>
      <c r="FL69" s="297"/>
      <c r="FM69" s="297"/>
      <c r="FN69" s="297"/>
      <c r="FO69" s="297"/>
      <c r="FP69" s="297"/>
      <c r="FQ69" s="297"/>
      <c r="FR69" s="297"/>
      <c r="FS69" s="297"/>
      <c r="FT69" s="297"/>
      <c r="FU69" s="297"/>
      <c r="FV69" s="297"/>
      <c r="FW69" s="297"/>
      <c r="FX69" s="297"/>
      <c r="FY69" s="297"/>
      <c r="FZ69" s="297"/>
      <c r="GA69" s="297"/>
      <c r="GB69" s="297"/>
      <c r="GC69" s="297"/>
      <c r="GD69" s="297"/>
      <c r="GE69" s="297"/>
      <c r="GF69" s="297"/>
      <c r="GG69" s="297"/>
      <c r="GH69" s="297"/>
      <c r="GI69" s="297"/>
      <c r="GJ69" s="297"/>
      <c r="GK69" s="297"/>
      <c r="GL69" s="297"/>
      <c r="GM69" s="297"/>
      <c r="GN69" s="297"/>
      <c r="GO69" s="297"/>
      <c r="GP69" s="297"/>
      <c r="GQ69" s="297"/>
      <c r="GR69" s="297"/>
      <c r="GS69" s="297"/>
      <c r="GT69" s="297"/>
      <c r="GU69" s="297"/>
      <c r="GV69" s="297"/>
      <c r="GW69" s="297"/>
      <c r="GX69" s="297"/>
      <c r="GY69" s="297"/>
      <c r="GZ69" s="297"/>
      <c r="HA69" s="297"/>
      <c r="HB69" s="297"/>
      <c r="HC69" s="297"/>
      <c r="HD69" s="297"/>
      <c r="HE69" s="297"/>
      <c r="HF69" s="297"/>
      <c r="HG69" s="297"/>
      <c r="HH69" s="297"/>
      <c r="HI69" s="297"/>
      <c r="HJ69" s="297"/>
      <c r="HK69" s="297"/>
      <c r="HL69" s="297"/>
      <c r="HM69" s="297"/>
      <c r="HN69" s="297"/>
      <c r="HO69" s="297"/>
      <c r="HP69" s="297"/>
      <c r="HQ69" s="297"/>
      <c r="HR69" s="297"/>
      <c r="HS69" s="297"/>
      <c r="HT69" s="297"/>
      <c r="HU69" s="297"/>
      <c r="HV69" s="297"/>
      <c r="HW69" s="297"/>
      <c r="HX69" s="297"/>
      <c r="HY69" s="297"/>
      <c r="HZ69" s="297"/>
      <c r="IA69" s="297"/>
      <c r="IB69" s="297"/>
      <c r="IC69" s="297"/>
      <c r="ID69" s="297"/>
      <c r="IE69" s="297"/>
      <c r="IF69" s="297"/>
      <c r="IG69" s="297"/>
      <c r="IH69" s="297"/>
      <c r="II69" s="297"/>
      <c r="IJ69" s="297"/>
      <c r="IK69" s="297"/>
      <c r="IL69" s="297"/>
      <c r="IM69" s="297"/>
      <c r="IN69" s="297"/>
      <c r="IO69" s="297"/>
      <c r="IP69" s="297"/>
      <c r="IQ69" s="297"/>
      <c r="IR69" s="297"/>
      <c r="IS69" s="297"/>
      <c r="IT69" s="297"/>
      <c r="IU69" s="297"/>
      <c r="IV69" s="297"/>
      <c r="IW69" s="297"/>
      <c r="IX69" s="297"/>
      <c r="IY69" s="297"/>
      <c r="IZ69" s="297"/>
      <c r="JA69" s="297"/>
    </row>
    <row r="70" spans="1:261" x14ac:dyDescent="0.25">
      <c r="A70" s="339"/>
      <c r="B70" s="340"/>
      <c r="C70" s="341"/>
      <c r="D70" s="341"/>
      <c r="E70" s="341"/>
      <c r="F70" s="341"/>
      <c r="G70" s="341"/>
      <c r="H70" s="341"/>
      <c r="I70" s="341"/>
      <c r="J70" s="341"/>
      <c r="K70" s="342"/>
      <c r="L70" s="342"/>
      <c r="M70" s="297"/>
      <c r="U70" s="297"/>
      <c r="V70" s="297"/>
      <c r="W70" s="297"/>
      <c r="X70" s="297"/>
      <c r="Y70" s="297"/>
      <c r="Z70" s="297"/>
      <c r="AA70" s="297"/>
      <c r="AB70" s="297"/>
      <c r="AC70" s="297"/>
      <c r="AD70" s="297"/>
      <c r="AE70" s="297"/>
      <c r="AF70" s="297"/>
      <c r="AG70" s="297"/>
      <c r="AH70" s="297"/>
      <c r="AI70" s="297"/>
      <c r="AJ70" s="297"/>
      <c r="AK70" s="297"/>
      <c r="AL70" s="297"/>
      <c r="AM70" s="297"/>
      <c r="AN70" s="297"/>
      <c r="AO70" s="297"/>
      <c r="AP70" s="297"/>
      <c r="AQ70" s="297"/>
      <c r="AR70" s="297"/>
      <c r="AS70" s="297"/>
      <c r="AT70" s="297"/>
      <c r="AU70" s="297"/>
      <c r="AV70" s="297"/>
      <c r="AW70" s="297"/>
      <c r="AX70" s="297"/>
      <c r="AY70" s="297"/>
      <c r="AZ70" s="297"/>
      <c r="BA70" s="297"/>
      <c r="BB70" s="297"/>
      <c r="BC70" s="297"/>
      <c r="BD70" s="297"/>
      <c r="BE70" s="297"/>
      <c r="BF70" s="297"/>
      <c r="BG70" s="297"/>
      <c r="BH70" s="297"/>
      <c r="BI70" s="297"/>
      <c r="BJ70" s="297"/>
      <c r="BK70" s="297"/>
      <c r="BL70" s="297"/>
      <c r="BM70" s="297"/>
      <c r="BN70" s="297"/>
      <c r="BO70" s="297"/>
      <c r="BP70" s="297"/>
      <c r="BQ70" s="297"/>
      <c r="BR70" s="297"/>
      <c r="BS70" s="297"/>
      <c r="BT70" s="297"/>
      <c r="BU70" s="297"/>
      <c r="BV70" s="297"/>
      <c r="BW70" s="297"/>
      <c r="BX70" s="297"/>
      <c r="BY70" s="297"/>
      <c r="BZ70" s="297"/>
      <c r="CA70" s="297"/>
      <c r="CB70" s="297"/>
      <c r="CC70" s="297"/>
      <c r="CD70" s="297"/>
      <c r="CE70" s="297"/>
      <c r="CF70" s="297"/>
      <c r="CG70" s="297"/>
      <c r="CH70" s="297"/>
      <c r="CI70" s="297"/>
      <c r="CJ70" s="297"/>
      <c r="CK70" s="297"/>
      <c r="CL70" s="297"/>
      <c r="CM70" s="297"/>
      <c r="CN70" s="297"/>
      <c r="CO70" s="297"/>
      <c r="CP70" s="297"/>
      <c r="CQ70" s="297"/>
      <c r="CR70" s="297"/>
      <c r="CS70" s="297"/>
      <c r="CT70" s="297"/>
      <c r="CU70" s="297"/>
      <c r="CV70" s="297"/>
      <c r="CW70" s="297"/>
      <c r="CX70" s="297"/>
      <c r="CY70" s="297"/>
      <c r="CZ70" s="297"/>
      <c r="DA70" s="297"/>
      <c r="DB70" s="297"/>
      <c r="DC70" s="297"/>
      <c r="DD70" s="297"/>
      <c r="DE70" s="297"/>
      <c r="DF70" s="297"/>
      <c r="DG70" s="297"/>
      <c r="DH70" s="297"/>
      <c r="DI70" s="297"/>
      <c r="DJ70" s="297"/>
      <c r="DK70" s="297"/>
      <c r="DL70" s="297"/>
      <c r="DM70" s="297"/>
      <c r="DN70" s="297"/>
      <c r="DO70" s="297"/>
      <c r="DP70" s="297"/>
      <c r="DQ70" s="297"/>
      <c r="DR70" s="297"/>
      <c r="DS70" s="297"/>
      <c r="DT70" s="297"/>
      <c r="DU70" s="297"/>
      <c r="DV70" s="297"/>
      <c r="DW70" s="297"/>
      <c r="DX70" s="297"/>
      <c r="DY70" s="297"/>
      <c r="DZ70" s="297"/>
      <c r="EA70" s="297"/>
      <c r="EB70" s="297"/>
      <c r="EC70" s="297"/>
      <c r="ED70" s="297"/>
      <c r="EE70" s="297"/>
      <c r="EF70" s="297"/>
      <c r="EG70" s="297"/>
      <c r="EH70" s="297"/>
      <c r="EI70" s="297"/>
      <c r="EJ70" s="297"/>
      <c r="EK70" s="297"/>
      <c r="EL70" s="297"/>
      <c r="EM70" s="297"/>
      <c r="EN70" s="297"/>
      <c r="EO70" s="297"/>
      <c r="EP70" s="297"/>
      <c r="EQ70" s="297"/>
      <c r="ER70" s="297"/>
      <c r="ES70" s="297"/>
      <c r="ET70" s="297"/>
      <c r="EU70" s="297"/>
      <c r="EV70" s="297"/>
      <c r="EW70" s="297"/>
      <c r="EX70" s="297"/>
      <c r="EY70" s="297"/>
      <c r="EZ70" s="297"/>
      <c r="FA70" s="297"/>
      <c r="FB70" s="297"/>
      <c r="FC70" s="297"/>
      <c r="FD70" s="297"/>
      <c r="FE70" s="297"/>
      <c r="FF70" s="297"/>
      <c r="FG70" s="297"/>
      <c r="FH70" s="297"/>
      <c r="FI70" s="297"/>
      <c r="FJ70" s="297"/>
      <c r="FK70" s="297"/>
      <c r="FL70" s="297"/>
      <c r="FM70" s="297"/>
      <c r="FN70" s="297"/>
      <c r="FO70" s="297"/>
      <c r="FP70" s="297"/>
      <c r="FQ70" s="297"/>
      <c r="FR70" s="297"/>
      <c r="FS70" s="297"/>
      <c r="FT70" s="297"/>
      <c r="FU70" s="297"/>
      <c r="FV70" s="297"/>
      <c r="FW70" s="297"/>
      <c r="FX70" s="297"/>
      <c r="FY70" s="297"/>
      <c r="FZ70" s="297"/>
      <c r="GA70" s="297"/>
      <c r="GB70" s="297"/>
      <c r="GC70" s="297"/>
      <c r="GD70" s="297"/>
      <c r="GE70" s="297"/>
      <c r="GF70" s="297"/>
      <c r="GG70" s="297"/>
      <c r="GH70" s="297"/>
      <c r="GI70" s="297"/>
      <c r="GJ70" s="297"/>
      <c r="GK70" s="297"/>
      <c r="GL70" s="297"/>
      <c r="GM70" s="297"/>
      <c r="GN70" s="297"/>
      <c r="GO70" s="297"/>
      <c r="GP70" s="297"/>
      <c r="GQ70" s="297"/>
      <c r="GR70" s="297"/>
      <c r="GS70" s="297"/>
      <c r="GT70" s="297"/>
      <c r="GU70" s="297"/>
      <c r="GV70" s="297"/>
      <c r="GW70" s="297"/>
      <c r="GX70" s="297"/>
      <c r="GY70" s="297"/>
      <c r="GZ70" s="297"/>
      <c r="HA70" s="297"/>
      <c r="HB70" s="297"/>
      <c r="HC70" s="297"/>
      <c r="HD70" s="297"/>
      <c r="HE70" s="297"/>
      <c r="HF70" s="297"/>
      <c r="HG70" s="297"/>
      <c r="HH70" s="297"/>
      <c r="HI70" s="297"/>
      <c r="HJ70" s="297"/>
      <c r="HK70" s="297"/>
      <c r="HL70" s="297"/>
      <c r="HM70" s="297"/>
      <c r="HN70" s="297"/>
      <c r="HO70" s="297"/>
      <c r="HP70" s="297"/>
      <c r="HQ70" s="297"/>
      <c r="HR70" s="297"/>
      <c r="HS70" s="297"/>
      <c r="HT70" s="297"/>
      <c r="HU70" s="297"/>
      <c r="HV70" s="297"/>
      <c r="HW70" s="297"/>
      <c r="HX70" s="297"/>
      <c r="HY70" s="297"/>
      <c r="HZ70" s="297"/>
      <c r="IA70" s="297"/>
      <c r="IB70" s="297"/>
      <c r="IC70" s="297"/>
      <c r="ID70" s="297"/>
      <c r="IE70" s="297"/>
      <c r="IF70" s="297"/>
      <c r="IG70" s="297"/>
      <c r="IH70" s="297"/>
      <c r="II70" s="297"/>
      <c r="IJ70" s="297"/>
      <c r="IK70" s="297"/>
      <c r="IL70" s="297"/>
      <c r="IM70" s="297"/>
      <c r="IN70" s="297"/>
      <c r="IO70" s="297"/>
      <c r="IP70" s="297"/>
      <c r="IQ70" s="297"/>
      <c r="IR70" s="297"/>
      <c r="IS70" s="297"/>
      <c r="IT70" s="297"/>
      <c r="IU70" s="297"/>
      <c r="IV70" s="297"/>
      <c r="IW70" s="297"/>
      <c r="IX70" s="297"/>
      <c r="IY70" s="297"/>
      <c r="IZ70" s="297"/>
      <c r="JA70" s="297"/>
    </row>
    <row r="71" spans="1:261" ht="24" thickBot="1" x14ac:dyDescent="0.4">
      <c r="A71" s="1284" t="s">
        <v>1016</v>
      </c>
      <c r="B71" s="1284"/>
      <c r="C71" s="1284"/>
      <c r="D71" s="1284"/>
      <c r="E71" s="1284"/>
      <c r="F71" s="1284"/>
      <c r="G71" s="1284"/>
      <c r="H71" s="1284"/>
      <c r="I71" s="1284"/>
      <c r="J71" s="1284"/>
      <c r="K71" s="1284"/>
      <c r="L71" s="1284"/>
    </row>
    <row r="72" spans="1:261" ht="48.75" x14ac:dyDescent="0.35">
      <c r="A72" s="276" t="s">
        <v>3</v>
      </c>
      <c r="B72" s="277" t="s">
        <v>634</v>
      </c>
      <c r="C72" s="278" t="s">
        <v>893</v>
      </c>
      <c r="D72" s="948">
        <v>7611</v>
      </c>
      <c r="E72" s="280" t="s">
        <v>280</v>
      </c>
      <c r="F72" s="279" t="s">
        <v>281</v>
      </c>
      <c r="G72" s="281" t="s">
        <v>676</v>
      </c>
      <c r="H72" s="281">
        <v>8751</v>
      </c>
      <c r="I72" s="281">
        <v>8711</v>
      </c>
      <c r="J72" s="282" t="s">
        <v>677</v>
      </c>
      <c r="K72" s="277" t="s">
        <v>678</v>
      </c>
      <c r="L72" s="283" t="s">
        <v>15</v>
      </c>
      <c r="N72" s="1284" t="s">
        <v>1025</v>
      </c>
      <c r="O72" s="1287"/>
      <c r="P72" s="1287"/>
      <c r="Q72" s="1287"/>
      <c r="R72" s="1287"/>
    </row>
    <row r="73" spans="1:261" ht="16.5" thickBot="1" x14ac:dyDescent="0.3">
      <c r="A73" s="300"/>
      <c r="B73" s="343"/>
      <c r="C73" s="344"/>
      <c r="D73" s="345"/>
      <c r="E73" s="346"/>
      <c r="F73" s="345"/>
      <c r="G73" s="347"/>
      <c r="H73" s="347"/>
      <c r="I73" s="347"/>
      <c r="J73" s="348"/>
      <c r="K73" s="303"/>
      <c r="L73" s="349"/>
    </row>
    <row r="74" spans="1:261" x14ac:dyDescent="0.25">
      <c r="A74" s="335" t="s">
        <v>822</v>
      </c>
      <c r="B74" s="313" t="s">
        <v>31</v>
      </c>
      <c r="C74" s="314">
        <v>0</v>
      </c>
      <c r="D74" s="314">
        <v>0</v>
      </c>
      <c r="E74" s="314"/>
      <c r="F74" s="314"/>
      <c r="G74" s="314">
        <v>0</v>
      </c>
      <c r="H74" s="314"/>
      <c r="I74" s="314"/>
      <c r="J74" s="314">
        <v>0</v>
      </c>
      <c r="K74" s="305">
        <v>26000</v>
      </c>
      <c r="L74" s="305">
        <f t="shared" ref="L74" si="12">SUM(C74+G74+J74+K74)</f>
        <v>26000</v>
      </c>
    </row>
    <row r="75" spans="1:261" s="284" customFormat="1" x14ac:dyDescent="0.25">
      <c r="A75" s="336" t="s">
        <v>873</v>
      </c>
      <c r="B75" s="288" t="s">
        <v>32</v>
      </c>
      <c r="C75" s="289">
        <v>0</v>
      </c>
      <c r="D75" s="290">
        <v>0</v>
      </c>
      <c r="E75" s="290"/>
      <c r="F75" s="290"/>
      <c r="G75" s="290">
        <v>100000</v>
      </c>
      <c r="H75" s="290"/>
      <c r="I75" s="290"/>
      <c r="J75" s="289">
        <v>0</v>
      </c>
      <c r="K75" s="289">
        <v>0</v>
      </c>
      <c r="L75" s="290">
        <f t="shared" ref="L75:L81" si="13">SUM(C75+G75+J75+K75)</f>
        <v>100000</v>
      </c>
      <c r="N75" s="274"/>
      <c r="O75" s="274"/>
      <c r="P75" s="274"/>
      <c r="Q75" s="274"/>
      <c r="R75" s="274"/>
      <c r="S75" s="274"/>
      <c r="T75" s="274"/>
    </row>
    <row r="76" spans="1:261" x14ac:dyDescent="0.25">
      <c r="A76" s="336" t="s">
        <v>856</v>
      </c>
      <c r="B76" s="288" t="s">
        <v>33</v>
      </c>
      <c r="C76" s="289">
        <v>0</v>
      </c>
      <c r="D76" s="290">
        <v>0</v>
      </c>
      <c r="E76" s="290"/>
      <c r="F76" s="290"/>
      <c r="G76" s="290">
        <v>204000</v>
      </c>
      <c r="H76" s="290"/>
      <c r="I76" s="290"/>
      <c r="J76" s="289">
        <v>0</v>
      </c>
      <c r="K76" s="289">
        <v>0</v>
      </c>
      <c r="L76" s="290">
        <f t="shared" si="13"/>
        <v>204000</v>
      </c>
    </row>
    <row r="77" spans="1:261" x14ac:dyDescent="0.25">
      <c r="A77" s="336" t="s">
        <v>951</v>
      </c>
      <c r="B77" s="288" t="s">
        <v>406</v>
      </c>
      <c r="C77" s="289">
        <v>0</v>
      </c>
      <c r="D77" s="290">
        <v>0</v>
      </c>
      <c r="E77" s="290"/>
      <c r="F77" s="290"/>
      <c r="G77" s="290">
        <v>300000</v>
      </c>
      <c r="H77" s="290"/>
      <c r="I77" s="290"/>
      <c r="J77" s="289">
        <v>0</v>
      </c>
      <c r="K77" s="289">
        <v>0</v>
      </c>
      <c r="L77" s="290">
        <f t="shared" si="13"/>
        <v>300000</v>
      </c>
    </row>
    <row r="78" spans="1:261" x14ac:dyDescent="0.25">
      <c r="A78" s="336" t="s">
        <v>820</v>
      </c>
      <c r="B78" s="288" t="s">
        <v>407</v>
      </c>
      <c r="C78" s="289">
        <v>0</v>
      </c>
      <c r="D78" s="289">
        <v>0</v>
      </c>
      <c r="E78" s="289"/>
      <c r="F78" s="289"/>
      <c r="G78" s="289">
        <v>0</v>
      </c>
      <c r="H78" s="289"/>
      <c r="I78" s="289"/>
      <c r="J78" s="289">
        <v>0</v>
      </c>
      <c r="K78" s="290">
        <f>25200</f>
        <v>25200</v>
      </c>
      <c r="L78" s="290">
        <f t="shared" si="13"/>
        <v>25200</v>
      </c>
    </row>
    <row r="79" spans="1:261" x14ac:dyDescent="0.25">
      <c r="A79" s="336" t="s">
        <v>824</v>
      </c>
      <c r="B79" s="288" t="s">
        <v>408</v>
      </c>
      <c r="C79" s="289">
        <v>0</v>
      </c>
      <c r="D79" s="289">
        <v>0</v>
      </c>
      <c r="E79" s="289"/>
      <c r="F79" s="289"/>
      <c r="G79" s="289">
        <v>0</v>
      </c>
      <c r="H79" s="289"/>
      <c r="I79" s="289"/>
      <c r="J79" s="289">
        <v>0</v>
      </c>
      <c r="K79" s="290">
        <v>30000</v>
      </c>
      <c r="L79" s="290">
        <f t="shared" si="13"/>
        <v>30000</v>
      </c>
    </row>
    <row r="80" spans="1:261" x14ac:dyDescent="0.25">
      <c r="A80" s="336" t="s">
        <v>825</v>
      </c>
      <c r="B80" s="288" t="s">
        <v>409</v>
      </c>
      <c r="C80" s="289">
        <v>0</v>
      </c>
      <c r="D80" s="290">
        <v>0</v>
      </c>
      <c r="E80" s="290"/>
      <c r="F80" s="290"/>
      <c r="G80" s="290">
        <v>126000</v>
      </c>
      <c r="H80" s="290"/>
      <c r="I80" s="290"/>
      <c r="J80" s="289">
        <v>0</v>
      </c>
      <c r="K80" s="289">
        <v>0</v>
      </c>
      <c r="L80" s="290">
        <f t="shared" si="13"/>
        <v>126000</v>
      </c>
    </row>
    <row r="81" spans="1:61" x14ac:dyDescent="0.25">
      <c r="A81" s="336" t="s">
        <v>1535</v>
      </c>
      <c r="B81" s="288" t="s">
        <v>410</v>
      </c>
      <c r="C81" s="290">
        <v>75000</v>
      </c>
      <c r="D81" s="289">
        <v>0</v>
      </c>
      <c r="E81" s="289"/>
      <c r="F81" s="289"/>
      <c r="G81" s="289">
        <v>0</v>
      </c>
      <c r="H81" s="289"/>
      <c r="I81" s="289"/>
      <c r="J81" s="289">
        <v>0</v>
      </c>
      <c r="K81" s="289">
        <v>0</v>
      </c>
      <c r="L81" s="290">
        <f t="shared" si="13"/>
        <v>75000</v>
      </c>
    </row>
    <row r="82" spans="1:61" x14ac:dyDescent="0.25">
      <c r="A82" s="336" t="s">
        <v>827</v>
      </c>
      <c r="B82" s="288" t="s">
        <v>411</v>
      </c>
      <c r="C82" s="289">
        <v>0</v>
      </c>
      <c r="D82" s="289">
        <v>0</v>
      </c>
      <c r="E82" s="289"/>
      <c r="F82" s="289"/>
      <c r="G82" s="289">
        <v>0</v>
      </c>
      <c r="H82" s="289"/>
      <c r="I82" s="289"/>
      <c r="J82" s="289">
        <v>0</v>
      </c>
      <c r="K82" s="290">
        <v>150000</v>
      </c>
      <c r="L82" s="290">
        <f t="shared" ref="L82:L124" si="14">SUM(C82+G82+J82+K82)</f>
        <v>150000</v>
      </c>
    </row>
    <row r="83" spans="1:61" x14ac:dyDescent="0.25">
      <c r="A83" s="336" t="s">
        <v>917</v>
      </c>
      <c r="B83" s="288" t="s">
        <v>412</v>
      </c>
      <c r="C83" s="289">
        <v>0</v>
      </c>
      <c r="D83" s="290">
        <v>0</v>
      </c>
      <c r="E83" s="290"/>
      <c r="F83" s="290"/>
      <c r="G83" s="290">
        <v>960000</v>
      </c>
      <c r="H83" s="290"/>
      <c r="I83" s="290"/>
      <c r="J83" s="289">
        <v>0</v>
      </c>
      <c r="K83" s="289">
        <v>0</v>
      </c>
      <c r="L83" s="290">
        <f t="shared" si="14"/>
        <v>960000</v>
      </c>
    </row>
    <row r="84" spans="1:61" x14ac:dyDescent="0.25">
      <c r="A84" s="336" t="s">
        <v>823</v>
      </c>
      <c r="B84" s="288" t="s">
        <v>413</v>
      </c>
      <c r="C84" s="289">
        <v>0</v>
      </c>
      <c r="D84" s="290">
        <v>0</v>
      </c>
      <c r="E84" s="290"/>
      <c r="F84" s="290"/>
      <c r="G84" s="290">
        <v>135000</v>
      </c>
      <c r="H84" s="290"/>
      <c r="I84" s="290"/>
      <c r="J84" s="289">
        <v>0</v>
      </c>
      <c r="K84" s="289">
        <v>0</v>
      </c>
      <c r="L84" s="290">
        <f t="shared" si="14"/>
        <v>135000</v>
      </c>
    </row>
    <row r="85" spans="1:61" x14ac:dyDescent="0.25">
      <c r="A85" s="336" t="s">
        <v>828</v>
      </c>
      <c r="B85" s="288" t="s">
        <v>414</v>
      </c>
      <c r="C85" s="289">
        <v>0</v>
      </c>
      <c r="D85" s="289">
        <v>0</v>
      </c>
      <c r="E85" s="289"/>
      <c r="F85" s="289"/>
      <c r="G85" s="289"/>
      <c r="H85" s="289"/>
      <c r="I85" s="289"/>
      <c r="J85" s="290">
        <v>243650</v>
      </c>
      <c r="K85" s="289">
        <v>0</v>
      </c>
      <c r="L85" s="290">
        <f t="shared" si="14"/>
        <v>243650</v>
      </c>
    </row>
    <row r="86" spans="1:61" x14ac:dyDescent="0.25">
      <c r="A86" s="350" t="s">
        <v>930</v>
      </c>
      <c r="B86" s="351" t="s">
        <v>415</v>
      </c>
      <c r="C86" s="352">
        <v>0</v>
      </c>
      <c r="D86" s="352">
        <v>0</v>
      </c>
      <c r="E86" s="352"/>
      <c r="F86" s="352"/>
      <c r="G86" s="352">
        <v>144000</v>
      </c>
      <c r="H86" s="352"/>
      <c r="I86" s="352"/>
      <c r="J86" s="353">
        <v>0</v>
      </c>
      <c r="K86" s="352">
        <v>0</v>
      </c>
      <c r="L86" s="290">
        <f t="shared" si="14"/>
        <v>144000</v>
      </c>
    </row>
    <row r="87" spans="1:61" x14ac:dyDescent="0.25">
      <c r="A87" s="350" t="s">
        <v>971</v>
      </c>
      <c r="B87" s="351" t="s">
        <v>1661</v>
      </c>
      <c r="C87" s="352"/>
      <c r="D87" s="352"/>
      <c r="E87" s="352"/>
      <c r="F87" s="352"/>
      <c r="G87" s="352">
        <v>100800</v>
      </c>
      <c r="H87" s="352"/>
      <c r="I87" s="352"/>
      <c r="J87" s="353">
        <v>0</v>
      </c>
      <c r="K87" s="352">
        <v>0</v>
      </c>
      <c r="L87" s="290">
        <f t="shared" si="14"/>
        <v>100800</v>
      </c>
    </row>
    <row r="88" spans="1:61" x14ac:dyDescent="0.25">
      <c r="A88" s="336" t="s">
        <v>820</v>
      </c>
      <c r="B88" s="288" t="s">
        <v>972</v>
      </c>
      <c r="C88" s="289">
        <v>0</v>
      </c>
      <c r="D88" s="289"/>
      <c r="E88" s="289"/>
      <c r="F88" s="289"/>
      <c r="G88" s="289">
        <v>0</v>
      </c>
      <c r="H88" s="289"/>
      <c r="I88" s="289"/>
      <c r="J88" s="289">
        <v>0</v>
      </c>
      <c r="K88" s="290">
        <v>604800</v>
      </c>
      <c r="L88" s="290">
        <f>SUM(C88+G88+J88+K88)</f>
        <v>604800</v>
      </c>
    </row>
    <row r="89" spans="1:61" s="949" customFormat="1" x14ac:dyDescent="0.25">
      <c r="A89" s="350" t="s">
        <v>1511</v>
      </c>
      <c r="B89" s="351" t="s">
        <v>1662</v>
      </c>
      <c r="C89" s="352">
        <v>0</v>
      </c>
      <c r="D89" s="352"/>
      <c r="E89" s="352"/>
      <c r="F89" s="352"/>
      <c r="G89" s="352">
        <v>0</v>
      </c>
      <c r="H89" s="352"/>
      <c r="I89" s="352"/>
      <c r="J89" s="353">
        <v>0</v>
      </c>
      <c r="K89" s="352">
        <v>70000</v>
      </c>
      <c r="L89" s="352">
        <f t="shared" ref="L89:L93" si="15">SUM(C89+G89+J89+K89)</f>
        <v>70000</v>
      </c>
      <c r="M89" s="274"/>
      <c r="N89" s="274"/>
      <c r="O89" s="274"/>
      <c r="P89" s="274"/>
      <c r="Q89" s="274"/>
      <c r="R89" s="274"/>
      <c r="S89" s="274"/>
      <c r="T89" s="274"/>
      <c r="U89" s="274"/>
      <c r="V89" s="274"/>
      <c r="W89" s="274"/>
      <c r="X89" s="274"/>
      <c r="Y89" s="274"/>
      <c r="Z89" s="274"/>
      <c r="AA89" s="274"/>
      <c r="AB89" s="274"/>
      <c r="AC89" s="274"/>
      <c r="AD89" s="274"/>
      <c r="AE89" s="274"/>
      <c r="AF89" s="274"/>
      <c r="AG89" s="274"/>
      <c r="AH89" s="274"/>
      <c r="AI89" s="274"/>
      <c r="AJ89" s="274"/>
      <c r="AK89" s="274"/>
      <c r="AL89" s="274"/>
      <c r="AM89" s="274"/>
      <c r="AN89" s="274"/>
      <c r="AO89" s="274"/>
      <c r="AP89" s="274"/>
      <c r="AQ89" s="274"/>
      <c r="AR89" s="274"/>
      <c r="AS89" s="274"/>
      <c r="AT89" s="274"/>
      <c r="AU89" s="274"/>
      <c r="AV89" s="274"/>
      <c r="AW89" s="274"/>
      <c r="AX89" s="274"/>
      <c r="AY89" s="274"/>
      <c r="AZ89" s="274"/>
      <c r="BA89" s="274"/>
      <c r="BB89" s="274"/>
      <c r="BC89" s="274"/>
      <c r="BD89" s="274"/>
      <c r="BE89" s="274"/>
      <c r="BF89" s="274"/>
      <c r="BG89" s="274"/>
      <c r="BH89" s="274"/>
      <c r="BI89" s="274"/>
    </row>
    <row r="90" spans="1:61" s="949" customFormat="1" x14ac:dyDescent="0.25">
      <c r="A90" s="350" t="s">
        <v>1530</v>
      </c>
      <c r="B90" s="351" t="s">
        <v>973</v>
      </c>
      <c r="C90" s="352">
        <v>0</v>
      </c>
      <c r="D90" s="352"/>
      <c r="E90" s="352"/>
      <c r="F90" s="352"/>
      <c r="G90" s="352">
        <v>630000</v>
      </c>
      <c r="H90" s="352"/>
      <c r="I90" s="352"/>
      <c r="J90" s="353">
        <v>0</v>
      </c>
      <c r="K90" s="352">
        <v>0</v>
      </c>
      <c r="L90" s="352">
        <f t="shared" si="15"/>
        <v>630000</v>
      </c>
      <c r="M90" s="274"/>
      <c r="N90" s="274"/>
      <c r="O90" s="274"/>
      <c r="P90" s="274"/>
      <c r="Q90" s="274"/>
      <c r="R90" s="274"/>
      <c r="S90" s="274"/>
      <c r="T90" s="274"/>
      <c r="U90" s="274"/>
      <c r="V90" s="274"/>
      <c r="W90" s="274"/>
      <c r="X90" s="274"/>
      <c r="Y90" s="274"/>
      <c r="Z90" s="274"/>
      <c r="AA90" s="274"/>
      <c r="AB90" s="274"/>
      <c r="AC90" s="274"/>
      <c r="AD90" s="274"/>
      <c r="AE90" s="274"/>
      <c r="AF90" s="274"/>
      <c r="AG90" s="274"/>
      <c r="AH90" s="274"/>
      <c r="AI90" s="274"/>
      <c r="AJ90" s="274"/>
      <c r="AK90" s="274"/>
      <c r="AL90" s="274"/>
      <c r="AM90" s="274"/>
      <c r="AN90" s="274"/>
      <c r="AO90" s="274"/>
      <c r="AP90" s="274"/>
      <c r="AQ90" s="274"/>
      <c r="AR90" s="274"/>
      <c r="AS90" s="274"/>
      <c r="AT90" s="274"/>
      <c r="AU90" s="274"/>
      <c r="AV90" s="274"/>
      <c r="AW90" s="274"/>
      <c r="AX90" s="274"/>
      <c r="AY90" s="274"/>
      <c r="AZ90" s="274"/>
      <c r="BA90" s="274"/>
      <c r="BB90" s="274"/>
      <c r="BC90" s="274"/>
      <c r="BD90" s="274"/>
      <c r="BE90" s="274"/>
      <c r="BF90" s="274"/>
      <c r="BG90" s="274"/>
      <c r="BH90" s="274"/>
      <c r="BI90" s="274"/>
    </row>
    <row r="91" spans="1:61" s="949" customFormat="1" x14ac:dyDescent="0.25">
      <c r="A91" s="350" t="s">
        <v>826</v>
      </c>
      <c r="B91" s="351" t="s">
        <v>1512</v>
      </c>
      <c r="C91" s="352">
        <v>75000</v>
      </c>
      <c r="D91" s="352"/>
      <c r="E91" s="352"/>
      <c r="F91" s="352"/>
      <c r="G91" s="352"/>
      <c r="H91" s="352"/>
      <c r="I91" s="352"/>
      <c r="J91" s="353">
        <v>0</v>
      </c>
      <c r="K91" s="352">
        <v>0</v>
      </c>
      <c r="L91" s="352">
        <f t="shared" si="15"/>
        <v>75000</v>
      </c>
      <c r="M91" s="274"/>
      <c r="N91" s="274"/>
      <c r="O91" s="274"/>
      <c r="P91" s="274"/>
      <c r="Q91" s="274"/>
      <c r="R91" s="274"/>
      <c r="S91" s="274"/>
      <c r="T91" s="274"/>
      <c r="U91" s="274"/>
      <c r="V91" s="274"/>
      <c r="W91" s="274"/>
      <c r="X91" s="274"/>
      <c r="Y91" s="274"/>
      <c r="Z91" s="274"/>
      <c r="AA91" s="274"/>
      <c r="AB91" s="274"/>
      <c r="AC91" s="274"/>
      <c r="AD91" s="274"/>
      <c r="AE91" s="274"/>
      <c r="AF91" s="274"/>
      <c r="AG91" s="274"/>
      <c r="AH91" s="274"/>
      <c r="AI91" s="274"/>
      <c r="AJ91" s="274"/>
      <c r="AK91" s="274"/>
      <c r="AL91" s="274"/>
      <c r="AM91" s="274"/>
      <c r="AN91" s="274"/>
      <c r="AO91" s="274"/>
      <c r="AP91" s="274"/>
      <c r="AQ91" s="274"/>
      <c r="AR91" s="274"/>
      <c r="AS91" s="274"/>
      <c r="AT91" s="274"/>
      <c r="AU91" s="274"/>
      <c r="AV91" s="274"/>
      <c r="AW91" s="274"/>
      <c r="AX91" s="274"/>
      <c r="AY91" s="274"/>
      <c r="AZ91" s="274"/>
      <c r="BA91" s="274"/>
      <c r="BB91" s="274"/>
      <c r="BC91" s="274"/>
      <c r="BD91" s="274"/>
      <c r="BE91" s="274"/>
      <c r="BF91" s="274"/>
      <c r="BG91" s="274"/>
      <c r="BH91" s="274"/>
      <c r="BI91" s="274"/>
    </row>
    <row r="92" spans="1:61" s="949" customFormat="1" x14ac:dyDescent="0.25">
      <c r="A92" s="350" t="s">
        <v>1536</v>
      </c>
      <c r="B92" s="351" t="s">
        <v>1531</v>
      </c>
      <c r="C92" s="352">
        <v>0</v>
      </c>
      <c r="D92" s="352"/>
      <c r="E92" s="352"/>
      <c r="F92" s="352"/>
      <c r="G92" s="352">
        <v>66000</v>
      </c>
      <c r="H92" s="352"/>
      <c r="I92" s="352"/>
      <c r="J92" s="353">
        <v>0</v>
      </c>
      <c r="K92" s="352">
        <v>0</v>
      </c>
      <c r="L92" s="352">
        <f t="shared" si="15"/>
        <v>66000</v>
      </c>
      <c r="M92" s="274"/>
      <c r="N92" s="274"/>
      <c r="O92" s="274"/>
      <c r="P92" s="274"/>
      <c r="Q92" s="274"/>
      <c r="R92" s="274"/>
      <c r="S92" s="274"/>
      <c r="T92" s="274"/>
      <c r="U92" s="274"/>
      <c r="V92" s="274"/>
      <c r="W92" s="274"/>
      <c r="X92" s="274"/>
      <c r="Y92" s="274"/>
      <c r="Z92" s="274"/>
      <c r="AA92" s="274"/>
      <c r="AB92" s="274"/>
      <c r="AC92" s="274"/>
      <c r="AD92" s="274"/>
      <c r="AE92" s="274"/>
      <c r="AF92" s="274"/>
      <c r="AG92" s="274"/>
      <c r="AH92" s="274"/>
      <c r="AI92" s="274"/>
      <c r="AJ92" s="274"/>
      <c r="AK92" s="274"/>
      <c r="AL92" s="274"/>
      <c r="AM92" s="274"/>
      <c r="AN92" s="274"/>
      <c r="AO92" s="274"/>
      <c r="AP92" s="274"/>
      <c r="AQ92" s="274"/>
      <c r="AR92" s="274"/>
      <c r="AS92" s="274"/>
      <c r="AT92" s="274"/>
      <c r="AU92" s="274"/>
      <c r="AV92" s="274"/>
      <c r="AW92" s="274"/>
      <c r="AX92" s="274"/>
      <c r="AY92" s="274"/>
      <c r="AZ92" s="274"/>
      <c r="BA92" s="274"/>
      <c r="BB92" s="274"/>
      <c r="BC92" s="274"/>
      <c r="BD92" s="274"/>
      <c r="BE92" s="274"/>
      <c r="BF92" s="274"/>
      <c r="BG92" s="274"/>
      <c r="BH92" s="274"/>
      <c r="BI92" s="274"/>
    </row>
    <row r="93" spans="1:61" s="949" customFormat="1" x14ac:dyDescent="0.25">
      <c r="A93" s="350" t="s">
        <v>1537</v>
      </c>
      <c r="B93" s="351" t="s">
        <v>1538</v>
      </c>
      <c r="C93" s="352">
        <v>0</v>
      </c>
      <c r="D93" s="352"/>
      <c r="E93" s="352"/>
      <c r="F93" s="352"/>
      <c r="G93" s="352">
        <v>600000</v>
      </c>
      <c r="H93" s="352"/>
      <c r="I93" s="352"/>
      <c r="J93" s="353">
        <v>0</v>
      </c>
      <c r="K93" s="352">
        <v>0</v>
      </c>
      <c r="L93" s="352">
        <f t="shared" si="15"/>
        <v>600000</v>
      </c>
      <c r="M93" s="274"/>
      <c r="N93" s="274"/>
      <c r="O93" s="274"/>
      <c r="P93" s="274"/>
      <c r="Q93" s="274"/>
      <c r="R93" s="274"/>
      <c r="S93" s="274"/>
      <c r="T93" s="274"/>
      <c r="U93" s="274"/>
      <c r="V93" s="274"/>
      <c r="W93" s="274"/>
      <c r="X93" s="274"/>
      <c r="Y93" s="274"/>
      <c r="Z93" s="274"/>
      <c r="AA93" s="274"/>
      <c r="AB93" s="274"/>
      <c r="AC93" s="274"/>
      <c r="AD93" s="274"/>
      <c r="AE93" s="274"/>
      <c r="AF93" s="274"/>
      <c r="AG93" s="274"/>
      <c r="AH93" s="274"/>
      <c r="AI93" s="274"/>
      <c r="AJ93" s="274"/>
      <c r="AK93" s="274"/>
      <c r="AL93" s="274"/>
      <c r="AM93" s="274"/>
      <c r="AN93" s="274"/>
      <c r="AO93" s="274"/>
      <c r="AP93" s="274"/>
      <c r="AQ93" s="274"/>
      <c r="AR93" s="274"/>
      <c r="AS93" s="274"/>
      <c r="AT93" s="274"/>
      <c r="AU93" s="274"/>
      <c r="AV93" s="274"/>
      <c r="AW93" s="274"/>
      <c r="AX93" s="274"/>
      <c r="AY93" s="274"/>
      <c r="AZ93" s="274"/>
      <c r="BA93" s="274"/>
      <c r="BB93" s="274"/>
      <c r="BC93" s="274"/>
      <c r="BD93" s="274"/>
      <c r="BE93" s="274"/>
      <c r="BF93" s="274"/>
      <c r="BG93" s="274"/>
      <c r="BH93" s="274"/>
      <c r="BI93" s="274"/>
    </row>
    <row r="94" spans="1:61" x14ac:dyDescent="0.25">
      <c r="A94" s="336" t="s">
        <v>575</v>
      </c>
      <c r="B94" s="288">
        <v>6911</v>
      </c>
      <c r="C94" s="290">
        <v>33000000</v>
      </c>
      <c r="D94" s="289">
        <v>0</v>
      </c>
      <c r="E94" s="289"/>
      <c r="F94" s="289"/>
      <c r="G94" s="289">
        <v>0</v>
      </c>
      <c r="H94" s="289"/>
      <c r="I94" s="289"/>
      <c r="J94" s="289">
        <v>0</v>
      </c>
      <c r="K94" s="289">
        <v>0</v>
      </c>
      <c r="L94" s="290">
        <f t="shared" si="14"/>
        <v>33000000</v>
      </c>
    </row>
    <row r="95" spans="1:61" x14ac:dyDescent="0.25">
      <c r="A95" s="336" t="s">
        <v>277</v>
      </c>
      <c r="B95" s="288">
        <v>9998</v>
      </c>
      <c r="C95" s="289">
        <v>0</v>
      </c>
      <c r="D95" s="290">
        <v>0</v>
      </c>
      <c r="E95" s="290"/>
      <c r="F95" s="290"/>
      <c r="G95" s="290">
        <v>8705600</v>
      </c>
      <c r="H95" s="290"/>
      <c r="I95" s="290"/>
      <c r="J95" s="289">
        <v>0</v>
      </c>
      <c r="K95" s="289">
        <v>0</v>
      </c>
      <c r="L95" s="290">
        <f t="shared" si="14"/>
        <v>8705600</v>
      </c>
    </row>
    <row r="96" spans="1:61" x14ac:dyDescent="0.25">
      <c r="A96" s="336" t="s">
        <v>576</v>
      </c>
      <c r="B96" s="288">
        <v>9995</v>
      </c>
      <c r="C96" s="290">
        <v>21000</v>
      </c>
      <c r="D96" s="289">
        <v>0</v>
      </c>
      <c r="E96" s="289"/>
      <c r="F96" s="289"/>
      <c r="G96" s="289">
        <v>0</v>
      </c>
      <c r="H96" s="289"/>
      <c r="I96" s="289"/>
      <c r="J96" s="289">
        <v>0</v>
      </c>
      <c r="K96" s="289">
        <v>0</v>
      </c>
      <c r="L96" s="290">
        <f t="shared" si="14"/>
        <v>21000</v>
      </c>
    </row>
    <row r="97" spans="1:12" x14ac:dyDescent="0.25">
      <c r="A97" s="336" t="s">
        <v>833</v>
      </c>
      <c r="B97" s="288" t="s">
        <v>417</v>
      </c>
      <c r="C97" s="290">
        <v>5526000</v>
      </c>
      <c r="D97" s="289">
        <v>0</v>
      </c>
      <c r="E97" s="289"/>
      <c r="F97" s="289"/>
      <c r="G97" s="289">
        <v>0</v>
      </c>
      <c r="H97" s="289"/>
      <c r="I97" s="289"/>
      <c r="J97" s="289">
        <v>0</v>
      </c>
      <c r="K97" s="289">
        <v>0</v>
      </c>
      <c r="L97" s="290">
        <f t="shared" si="14"/>
        <v>5526000</v>
      </c>
    </row>
    <row r="98" spans="1:12" x14ac:dyDescent="0.25">
      <c r="A98" s="336" t="s">
        <v>842</v>
      </c>
      <c r="B98" s="288" t="s">
        <v>416</v>
      </c>
      <c r="C98" s="289">
        <v>0</v>
      </c>
      <c r="D98" s="289">
        <v>0</v>
      </c>
      <c r="E98" s="289"/>
      <c r="F98" s="289"/>
      <c r="G98" s="289">
        <v>0</v>
      </c>
      <c r="H98" s="289"/>
      <c r="I98" s="289"/>
      <c r="J98" s="289">
        <v>0</v>
      </c>
      <c r="K98" s="289">
        <v>0</v>
      </c>
      <c r="L98" s="290">
        <f t="shared" si="14"/>
        <v>0</v>
      </c>
    </row>
    <row r="99" spans="1:12" x14ac:dyDescent="0.25">
      <c r="A99" s="336" t="s">
        <v>843</v>
      </c>
      <c r="B99" s="288" t="s">
        <v>418</v>
      </c>
      <c r="C99" s="289">
        <v>0</v>
      </c>
      <c r="D99" s="290">
        <v>0</v>
      </c>
      <c r="E99" s="290"/>
      <c r="F99" s="290"/>
      <c r="G99" s="289">
        <v>317800</v>
      </c>
      <c r="H99" s="290"/>
      <c r="I99" s="290"/>
      <c r="J99" s="289">
        <v>0</v>
      </c>
      <c r="K99" s="289">
        <v>0</v>
      </c>
      <c r="L99" s="290">
        <f t="shared" si="14"/>
        <v>317800</v>
      </c>
    </row>
    <row r="100" spans="1:12" x14ac:dyDescent="0.25">
      <c r="A100" s="336" t="s">
        <v>844</v>
      </c>
      <c r="B100" s="288" t="s">
        <v>419</v>
      </c>
      <c r="C100" s="289">
        <v>0</v>
      </c>
      <c r="D100" s="290">
        <v>0</v>
      </c>
      <c r="E100" s="290"/>
      <c r="F100" s="290"/>
      <c r="G100" s="289">
        <v>130000</v>
      </c>
      <c r="H100" s="290"/>
      <c r="I100" s="290"/>
      <c r="J100" s="289">
        <v>0</v>
      </c>
      <c r="K100" s="289">
        <v>0</v>
      </c>
      <c r="L100" s="290">
        <f t="shared" si="14"/>
        <v>130000</v>
      </c>
    </row>
    <row r="101" spans="1:12" x14ac:dyDescent="0.25">
      <c r="A101" s="336" t="s">
        <v>845</v>
      </c>
      <c r="B101" s="288" t="s">
        <v>420</v>
      </c>
      <c r="C101" s="289">
        <v>0</v>
      </c>
      <c r="D101" s="290">
        <v>0</v>
      </c>
      <c r="E101" s="290"/>
      <c r="F101" s="290"/>
      <c r="G101" s="289">
        <v>300000</v>
      </c>
      <c r="H101" s="290"/>
      <c r="I101" s="290"/>
      <c r="J101" s="289">
        <v>0</v>
      </c>
      <c r="K101" s="289">
        <v>0</v>
      </c>
      <c r="L101" s="290">
        <f t="shared" si="14"/>
        <v>300000</v>
      </c>
    </row>
    <row r="102" spans="1:12" x14ac:dyDescent="0.25">
      <c r="A102" s="336" t="s">
        <v>846</v>
      </c>
      <c r="B102" s="288" t="s">
        <v>421</v>
      </c>
      <c r="C102" s="289">
        <v>0</v>
      </c>
      <c r="D102" s="290">
        <v>0</v>
      </c>
      <c r="E102" s="290"/>
      <c r="F102" s="290"/>
      <c r="G102" s="289">
        <v>902200</v>
      </c>
      <c r="H102" s="290"/>
      <c r="I102" s="290"/>
      <c r="J102" s="289">
        <v>0</v>
      </c>
      <c r="K102" s="289">
        <v>0</v>
      </c>
      <c r="L102" s="290">
        <f t="shared" si="14"/>
        <v>902200</v>
      </c>
    </row>
    <row r="103" spans="1:12" x14ac:dyDescent="0.25">
      <c r="A103" s="336" t="s">
        <v>894</v>
      </c>
      <c r="B103" s="288" t="s">
        <v>422</v>
      </c>
      <c r="C103" s="289">
        <v>0</v>
      </c>
      <c r="D103" s="290">
        <v>0</v>
      </c>
      <c r="E103" s="290"/>
      <c r="F103" s="290"/>
      <c r="G103" s="289">
        <v>1650000</v>
      </c>
      <c r="H103" s="290"/>
      <c r="I103" s="290"/>
      <c r="J103" s="289">
        <v>0</v>
      </c>
      <c r="K103" s="289">
        <v>0</v>
      </c>
      <c r="L103" s="290">
        <f t="shared" si="14"/>
        <v>1650000</v>
      </c>
    </row>
    <row r="104" spans="1:12" x14ac:dyDescent="0.25">
      <c r="A104" s="336" t="s">
        <v>847</v>
      </c>
      <c r="B104" s="288" t="s">
        <v>34</v>
      </c>
      <c r="C104" s="290">
        <v>5000000</v>
      </c>
      <c r="D104" s="289">
        <v>0</v>
      </c>
      <c r="E104" s="289"/>
      <c r="F104" s="289"/>
      <c r="G104" s="289">
        <v>0</v>
      </c>
      <c r="H104" s="289"/>
      <c r="I104" s="289"/>
      <c r="J104" s="289">
        <v>0</v>
      </c>
      <c r="K104" s="289">
        <v>0</v>
      </c>
      <c r="L104" s="290">
        <f t="shared" si="14"/>
        <v>5000000</v>
      </c>
    </row>
    <row r="105" spans="1:12" x14ac:dyDescent="0.25">
      <c r="A105" s="336" t="s">
        <v>829</v>
      </c>
      <c r="B105" s="288">
        <v>6544</v>
      </c>
      <c r="C105" s="290">
        <v>6000000</v>
      </c>
      <c r="D105" s="289">
        <v>0</v>
      </c>
      <c r="E105" s="289"/>
      <c r="F105" s="289"/>
      <c r="G105" s="289">
        <v>0</v>
      </c>
      <c r="H105" s="289"/>
      <c r="I105" s="289"/>
      <c r="J105" s="289">
        <v>0</v>
      </c>
      <c r="K105" s="289">
        <v>0</v>
      </c>
      <c r="L105" s="290">
        <f t="shared" si="14"/>
        <v>6000000</v>
      </c>
    </row>
    <row r="106" spans="1:12" x14ac:dyDescent="0.25">
      <c r="A106" s="336" t="s">
        <v>568</v>
      </c>
      <c r="B106" s="288">
        <v>8821</v>
      </c>
      <c r="C106" s="290">
        <v>3500000</v>
      </c>
      <c r="D106" s="289">
        <v>0</v>
      </c>
      <c r="E106" s="289"/>
      <c r="F106" s="289"/>
      <c r="G106" s="289">
        <v>0</v>
      </c>
      <c r="H106" s="289"/>
      <c r="I106" s="289"/>
      <c r="J106" s="289">
        <v>0</v>
      </c>
      <c r="K106" s="289">
        <v>0</v>
      </c>
      <c r="L106" s="290">
        <f t="shared" si="14"/>
        <v>3500000</v>
      </c>
    </row>
    <row r="107" spans="1:12" x14ac:dyDescent="0.25">
      <c r="A107" s="336" t="s">
        <v>830</v>
      </c>
      <c r="B107" s="288">
        <v>8801</v>
      </c>
      <c r="C107" s="290">
        <v>500000</v>
      </c>
      <c r="D107" s="289">
        <v>0</v>
      </c>
      <c r="E107" s="289"/>
      <c r="F107" s="289"/>
      <c r="G107" s="289">
        <v>0</v>
      </c>
      <c r="H107" s="289"/>
      <c r="I107" s="289"/>
      <c r="J107" s="289">
        <v>0</v>
      </c>
      <c r="K107" s="289">
        <v>0</v>
      </c>
      <c r="L107" s="290">
        <f t="shared" si="14"/>
        <v>500000</v>
      </c>
    </row>
    <row r="108" spans="1:12" x14ac:dyDescent="0.25">
      <c r="A108" s="336" t="s">
        <v>852</v>
      </c>
      <c r="B108" s="288">
        <v>8771</v>
      </c>
      <c r="C108" s="290">
        <v>1050000</v>
      </c>
      <c r="D108" s="289">
        <v>0</v>
      </c>
      <c r="E108" s="289"/>
      <c r="F108" s="289"/>
      <c r="G108" s="289">
        <v>0</v>
      </c>
      <c r="H108" s="289"/>
      <c r="I108" s="289"/>
      <c r="J108" s="289">
        <v>0</v>
      </c>
      <c r="K108" s="289">
        <v>0</v>
      </c>
      <c r="L108" s="290">
        <f t="shared" si="14"/>
        <v>1050000</v>
      </c>
    </row>
    <row r="109" spans="1:12" x14ac:dyDescent="0.25">
      <c r="A109" s="336" t="s">
        <v>383</v>
      </c>
      <c r="B109" s="288">
        <v>8781</v>
      </c>
      <c r="C109" s="290">
        <v>3800000</v>
      </c>
      <c r="D109" s="289">
        <v>0</v>
      </c>
      <c r="E109" s="289"/>
      <c r="F109" s="289"/>
      <c r="G109" s="289">
        <v>0</v>
      </c>
      <c r="H109" s="289"/>
      <c r="I109" s="289"/>
      <c r="J109" s="289">
        <v>0</v>
      </c>
      <c r="K109" s="289">
        <v>0</v>
      </c>
      <c r="L109" s="290">
        <f t="shared" si="14"/>
        <v>3800000</v>
      </c>
    </row>
    <row r="110" spans="1:12" x14ac:dyDescent="0.25">
      <c r="A110" s="336" t="s">
        <v>853</v>
      </c>
      <c r="B110" s="288">
        <v>8791</v>
      </c>
      <c r="C110" s="290">
        <v>700000</v>
      </c>
      <c r="D110" s="289">
        <v>0</v>
      </c>
      <c r="E110" s="289"/>
      <c r="F110" s="289"/>
      <c r="G110" s="289">
        <v>0</v>
      </c>
      <c r="H110" s="289"/>
      <c r="I110" s="289"/>
      <c r="J110" s="289">
        <v>0</v>
      </c>
      <c r="K110" s="289">
        <v>0</v>
      </c>
      <c r="L110" s="290">
        <f t="shared" si="14"/>
        <v>700000</v>
      </c>
    </row>
    <row r="111" spans="1:12" x14ac:dyDescent="0.25">
      <c r="A111" s="336" t="s">
        <v>831</v>
      </c>
      <c r="B111" s="288" t="s">
        <v>35</v>
      </c>
      <c r="C111" s="289">
        <v>0</v>
      </c>
      <c r="D111" s="289">
        <v>0</v>
      </c>
      <c r="E111" s="289"/>
      <c r="F111" s="289"/>
      <c r="G111" s="289">
        <v>0</v>
      </c>
      <c r="H111" s="289"/>
      <c r="I111" s="289"/>
      <c r="J111" s="289">
        <v>0</v>
      </c>
      <c r="K111" s="290">
        <v>500000</v>
      </c>
      <c r="L111" s="290">
        <f t="shared" si="14"/>
        <v>500000</v>
      </c>
    </row>
    <row r="112" spans="1:12" x14ac:dyDescent="0.25">
      <c r="A112" s="336" t="s">
        <v>832</v>
      </c>
      <c r="B112" s="288" t="s">
        <v>36</v>
      </c>
      <c r="C112" s="290">
        <v>600000</v>
      </c>
      <c r="D112" s="289">
        <v>0</v>
      </c>
      <c r="E112" s="289"/>
      <c r="F112" s="289"/>
      <c r="G112" s="289">
        <v>0</v>
      </c>
      <c r="H112" s="289"/>
      <c r="I112" s="289"/>
      <c r="J112" s="289">
        <v>0</v>
      </c>
      <c r="K112" s="289">
        <v>0</v>
      </c>
      <c r="L112" s="290">
        <f t="shared" si="14"/>
        <v>600000</v>
      </c>
    </row>
    <row r="113" spans="1:13" x14ac:dyDescent="0.25">
      <c r="A113" s="350" t="s">
        <v>954</v>
      </c>
      <c r="B113" s="351" t="s">
        <v>899</v>
      </c>
      <c r="C113" s="353">
        <v>120000</v>
      </c>
      <c r="D113" s="352">
        <v>0</v>
      </c>
      <c r="E113" s="352"/>
      <c r="F113" s="352"/>
      <c r="G113" s="352">
        <v>0</v>
      </c>
      <c r="H113" s="352"/>
      <c r="I113" s="352"/>
      <c r="J113" s="352">
        <v>0</v>
      </c>
      <c r="K113" s="352">
        <v>0</v>
      </c>
      <c r="L113" s="290">
        <f t="shared" si="14"/>
        <v>120000</v>
      </c>
    </row>
    <row r="114" spans="1:13" x14ac:dyDescent="0.25">
      <c r="A114" s="336" t="s">
        <v>838</v>
      </c>
      <c r="B114" s="288" t="s">
        <v>423</v>
      </c>
      <c r="C114" s="290">
        <v>800000</v>
      </c>
      <c r="D114" s="289">
        <v>0</v>
      </c>
      <c r="E114" s="289"/>
      <c r="F114" s="289"/>
      <c r="G114" s="289">
        <v>0</v>
      </c>
      <c r="H114" s="289"/>
      <c r="I114" s="289"/>
      <c r="J114" s="289">
        <v>0</v>
      </c>
      <c r="K114" s="289">
        <v>0</v>
      </c>
      <c r="L114" s="290">
        <f t="shared" si="14"/>
        <v>800000</v>
      </c>
    </row>
    <row r="115" spans="1:13" x14ac:dyDescent="0.25">
      <c r="A115" s="336" t="s">
        <v>848</v>
      </c>
      <c r="B115" s="288" t="s">
        <v>37</v>
      </c>
      <c r="C115" s="289">
        <v>0</v>
      </c>
      <c r="D115" s="289">
        <v>0</v>
      </c>
      <c r="E115" s="289"/>
      <c r="F115" s="289"/>
      <c r="G115" s="289">
        <v>0</v>
      </c>
      <c r="H115" s="289"/>
      <c r="I115" s="289"/>
      <c r="J115" s="290">
        <v>400000</v>
      </c>
      <c r="K115" s="289">
        <v>0</v>
      </c>
      <c r="L115" s="290">
        <f t="shared" si="14"/>
        <v>400000</v>
      </c>
    </row>
    <row r="116" spans="1:13" x14ac:dyDescent="0.25">
      <c r="A116" s="336" t="s">
        <v>839</v>
      </c>
      <c r="B116" s="288" t="s">
        <v>38</v>
      </c>
      <c r="C116" s="290">
        <v>120000</v>
      </c>
      <c r="D116" s="289">
        <v>0</v>
      </c>
      <c r="E116" s="289"/>
      <c r="F116" s="289"/>
      <c r="G116" s="289">
        <v>0</v>
      </c>
      <c r="H116" s="289"/>
      <c r="I116" s="289"/>
      <c r="J116" s="289">
        <v>0</v>
      </c>
      <c r="K116" s="289">
        <v>0</v>
      </c>
      <c r="L116" s="290">
        <f t="shared" si="14"/>
        <v>120000</v>
      </c>
    </row>
    <row r="117" spans="1:13" x14ac:dyDescent="0.25">
      <c r="A117" s="336" t="s">
        <v>840</v>
      </c>
      <c r="B117" s="288" t="s">
        <v>39</v>
      </c>
      <c r="C117" s="289">
        <v>0</v>
      </c>
      <c r="D117" s="290">
        <v>0</v>
      </c>
      <c r="E117" s="290"/>
      <c r="F117" s="290"/>
      <c r="G117" s="290">
        <v>300000</v>
      </c>
      <c r="H117" s="290"/>
      <c r="I117" s="290"/>
      <c r="J117" s="289">
        <v>0</v>
      </c>
      <c r="K117" s="289">
        <v>0</v>
      </c>
      <c r="L117" s="290">
        <f t="shared" si="14"/>
        <v>300000</v>
      </c>
    </row>
    <row r="118" spans="1:13" x14ac:dyDescent="0.25">
      <c r="A118" s="336" t="s">
        <v>841</v>
      </c>
      <c r="B118" s="288" t="s">
        <v>40</v>
      </c>
      <c r="C118" s="289">
        <v>0</v>
      </c>
      <c r="D118" s="290">
        <v>0</v>
      </c>
      <c r="E118" s="290"/>
      <c r="F118" s="290"/>
      <c r="G118" s="290">
        <v>550000</v>
      </c>
      <c r="H118" s="290"/>
      <c r="I118" s="290"/>
      <c r="J118" s="289">
        <v>0</v>
      </c>
      <c r="K118" s="289">
        <v>0</v>
      </c>
      <c r="L118" s="290">
        <f t="shared" si="14"/>
        <v>550000</v>
      </c>
    </row>
    <row r="119" spans="1:13" x14ac:dyDescent="0.25">
      <c r="A119" s="336" t="s">
        <v>837</v>
      </c>
      <c r="B119" s="288" t="s">
        <v>41</v>
      </c>
      <c r="C119" s="289">
        <v>0</v>
      </c>
      <c r="D119" s="289">
        <v>0</v>
      </c>
      <c r="E119" s="289"/>
      <c r="F119" s="289"/>
      <c r="G119" s="289">
        <v>0</v>
      </c>
      <c r="H119" s="289"/>
      <c r="I119" s="289"/>
      <c r="J119" s="289">
        <v>0</v>
      </c>
      <c r="K119" s="290">
        <v>24000</v>
      </c>
      <c r="L119" s="290">
        <f t="shared" si="14"/>
        <v>24000</v>
      </c>
    </row>
    <row r="120" spans="1:13" x14ac:dyDescent="0.25">
      <c r="A120" s="336" t="s">
        <v>834</v>
      </c>
      <c r="B120" s="288" t="s">
        <v>42</v>
      </c>
      <c r="C120" s="289">
        <v>0</v>
      </c>
      <c r="D120" s="290">
        <v>0</v>
      </c>
      <c r="E120" s="290"/>
      <c r="F120" s="290"/>
      <c r="G120" s="290">
        <v>400000</v>
      </c>
      <c r="H120" s="290"/>
      <c r="I120" s="290"/>
      <c r="J120" s="289">
        <v>0</v>
      </c>
      <c r="K120" s="289">
        <v>0</v>
      </c>
      <c r="L120" s="290">
        <f t="shared" si="14"/>
        <v>400000</v>
      </c>
    </row>
    <row r="121" spans="1:13" x14ac:dyDescent="0.25">
      <c r="A121" s="336" t="s">
        <v>835</v>
      </c>
      <c r="B121" s="288" t="s">
        <v>227</v>
      </c>
      <c r="C121" s="289">
        <v>0</v>
      </c>
      <c r="D121" s="290">
        <v>0</v>
      </c>
      <c r="E121" s="290"/>
      <c r="F121" s="290"/>
      <c r="G121" s="290">
        <v>250000</v>
      </c>
      <c r="H121" s="290"/>
      <c r="I121" s="290"/>
      <c r="J121" s="289">
        <v>0</v>
      </c>
      <c r="K121" s="289">
        <v>0</v>
      </c>
      <c r="L121" s="290">
        <f t="shared" si="14"/>
        <v>250000</v>
      </c>
    </row>
    <row r="122" spans="1:13" x14ac:dyDescent="0.25">
      <c r="A122" s="336" t="s">
        <v>836</v>
      </c>
      <c r="B122" s="288" t="s">
        <v>228</v>
      </c>
      <c r="C122" s="289">
        <v>0</v>
      </c>
      <c r="D122" s="290">
        <v>0</v>
      </c>
      <c r="E122" s="290"/>
      <c r="F122" s="290"/>
      <c r="G122" s="290">
        <v>250000</v>
      </c>
      <c r="H122" s="290"/>
      <c r="I122" s="290"/>
      <c r="J122" s="289">
        <v>0</v>
      </c>
      <c r="K122" s="289">
        <v>0</v>
      </c>
      <c r="L122" s="290">
        <f t="shared" si="14"/>
        <v>250000</v>
      </c>
    </row>
    <row r="123" spans="1:13" x14ac:dyDescent="0.25">
      <c r="A123" s="336" t="s">
        <v>889</v>
      </c>
      <c r="B123" s="288" t="s">
        <v>424</v>
      </c>
      <c r="C123" s="290">
        <v>1950000</v>
      </c>
      <c r="D123" s="289">
        <v>0</v>
      </c>
      <c r="E123" s="289"/>
      <c r="F123" s="289"/>
      <c r="G123" s="289">
        <v>0</v>
      </c>
      <c r="H123" s="289"/>
      <c r="I123" s="289"/>
      <c r="J123" s="289">
        <v>0</v>
      </c>
      <c r="K123" s="289">
        <v>0</v>
      </c>
      <c r="L123" s="290">
        <f t="shared" si="14"/>
        <v>1950000</v>
      </c>
    </row>
    <row r="124" spans="1:13" ht="16.5" thickBot="1" x14ac:dyDescent="0.3">
      <c r="A124" s="354" t="s">
        <v>381</v>
      </c>
      <c r="B124" s="307" t="s">
        <v>268</v>
      </c>
      <c r="C124" s="308">
        <v>0</v>
      </c>
      <c r="D124" s="308">
        <v>0</v>
      </c>
      <c r="E124" s="308"/>
      <c r="F124" s="308"/>
      <c r="G124" s="308">
        <v>0</v>
      </c>
      <c r="H124" s="308"/>
      <c r="I124" s="308"/>
      <c r="J124" s="308">
        <v>0</v>
      </c>
      <c r="K124" s="317">
        <v>110000</v>
      </c>
      <c r="L124" s="317">
        <f t="shared" si="14"/>
        <v>110000</v>
      </c>
    </row>
    <row r="125" spans="1:13" ht="16.5" thickBot="1" x14ac:dyDescent="0.3">
      <c r="A125" s="355" t="s">
        <v>895</v>
      </c>
      <c r="B125" s="315"/>
      <c r="C125" s="311">
        <f>SUM(C60:C124)</f>
        <v>62973000</v>
      </c>
      <c r="D125" s="311">
        <f t="shared" ref="D125:L125" si="16">SUM(D60:D67)+SUM(D74:D124)</f>
        <v>0</v>
      </c>
      <c r="E125" s="311">
        <f t="shared" si="16"/>
        <v>0</v>
      </c>
      <c r="F125" s="311">
        <f t="shared" si="16"/>
        <v>0</v>
      </c>
      <c r="G125" s="311">
        <f t="shared" si="16"/>
        <v>18421400</v>
      </c>
      <c r="H125" s="311">
        <f t="shared" si="16"/>
        <v>0</v>
      </c>
      <c r="I125" s="311">
        <f t="shared" si="16"/>
        <v>0</v>
      </c>
      <c r="J125" s="311">
        <f t="shared" si="16"/>
        <v>643650</v>
      </c>
      <c r="K125" s="311">
        <f t="shared" si="16"/>
        <v>2006000</v>
      </c>
      <c r="L125" s="312">
        <f t="shared" si="16"/>
        <v>84044050</v>
      </c>
      <c r="M125" s="274">
        <f>6567450+77476600</f>
        <v>84044050</v>
      </c>
    </row>
    <row r="126" spans="1:13" ht="16.5" thickBot="1" x14ac:dyDescent="0.3">
      <c r="A126" s="325" t="s">
        <v>635</v>
      </c>
      <c r="B126" s="323"/>
      <c r="C126" s="356">
        <f t="shared" ref="C126:L126" si="17">SUM(C125+C59+C48+C28)</f>
        <v>124553969</v>
      </c>
      <c r="D126" s="356">
        <f t="shared" si="17"/>
        <v>5308890.8</v>
      </c>
      <c r="E126" s="356">
        <f t="shared" si="17"/>
        <v>9853874</v>
      </c>
      <c r="F126" s="356">
        <f t="shared" si="17"/>
        <v>4546962</v>
      </c>
      <c r="G126" s="356">
        <f t="shared" si="17"/>
        <v>38131126.799999997</v>
      </c>
      <c r="H126" s="356">
        <f t="shared" si="17"/>
        <v>2879711</v>
      </c>
      <c r="I126" s="356">
        <f t="shared" si="17"/>
        <v>5601984.2000000002</v>
      </c>
      <c r="J126" s="356">
        <f t="shared" si="17"/>
        <v>9125345.1999999993</v>
      </c>
      <c r="K126" s="356">
        <f t="shared" si="17"/>
        <v>2006000</v>
      </c>
      <c r="L126" s="326">
        <f t="shared" si="17"/>
        <v>173816441</v>
      </c>
      <c r="M126" s="331">
        <f>M125-L125</f>
        <v>0</v>
      </c>
    </row>
    <row r="128" spans="1:13" x14ac:dyDescent="0.25">
      <c r="C128" s="331"/>
      <c r="D128" s="331"/>
      <c r="E128" s="331"/>
      <c r="F128" s="331"/>
      <c r="G128" s="331"/>
      <c r="H128" s="331"/>
      <c r="I128" s="331"/>
      <c r="J128" s="331"/>
      <c r="K128" s="331"/>
      <c r="L128" s="331"/>
    </row>
    <row r="129" spans="1:20" x14ac:dyDescent="0.25">
      <c r="A129" s="284" t="s">
        <v>16</v>
      </c>
      <c r="K129" s="284" t="s">
        <v>264</v>
      </c>
    </row>
    <row r="132" spans="1:20" x14ac:dyDescent="0.25">
      <c r="A132" s="946" t="s">
        <v>17</v>
      </c>
      <c r="B132" s="284"/>
      <c r="C132" s="1285" t="s">
        <v>809</v>
      </c>
      <c r="D132" s="1285"/>
      <c r="E132" s="1285"/>
      <c r="F132" s="1285"/>
      <c r="G132" s="1285"/>
      <c r="H132" s="946"/>
      <c r="I132" s="946"/>
      <c r="J132" s="284"/>
      <c r="K132" s="1285" t="s">
        <v>1495</v>
      </c>
      <c r="L132" s="1285"/>
    </row>
    <row r="133" spans="1:20" s="284" customFormat="1" x14ac:dyDescent="0.25">
      <c r="A133" s="947" t="s">
        <v>18</v>
      </c>
      <c r="B133" s="274"/>
      <c r="C133" s="1286" t="s">
        <v>248</v>
      </c>
      <c r="D133" s="1286"/>
      <c r="E133" s="1286"/>
      <c r="F133" s="1286"/>
      <c r="G133" s="1286"/>
      <c r="H133" s="947"/>
      <c r="I133" s="947"/>
      <c r="J133" s="274"/>
      <c r="K133" s="1286" t="s">
        <v>14</v>
      </c>
      <c r="L133" s="1286"/>
      <c r="N133" s="274"/>
      <c r="O133" s="274"/>
      <c r="P133" s="274"/>
      <c r="Q133" s="274"/>
      <c r="R133" s="274"/>
      <c r="S133" s="274"/>
      <c r="T133" s="274"/>
    </row>
    <row r="134" spans="1:20" s="284" customFormat="1" x14ac:dyDescent="0.25">
      <c r="A134" s="274"/>
      <c r="B134" s="274"/>
      <c r="C134" s="274"/>
      <c r="D134" s="274"/>
      <c r="E134" s="274"/>
      <c r="F134" s="274"/>
      <c r="G134" s="274"/>
      <c r="H134" s="274"/>
      <c r="I134" s="274"/>
      <c r="J134" s="274"/>
      <c r="K134" s="274"/>
      <c r="L134" s="274"/>
      <c r="N134" s="274"/>
      <c r="O134" s="274"/>
      <c r="P134" s="274"/>
      <c r="Q134" s="274"/>
      <c r="R134" s="274"/>
      <c r="S134" s="274"/>
      <c r="T134" s="274"/>
    </row>
    <row r="135" spans="1:20" s="284" customFormat="1" x14ac:dyDescent="0.25">
      <c r="A135" s="274"/>
      <c r="B135" s="274"/>
      <c r="C135" s="274"/>
      <c r="D135" s="274"/>
      <c r="E135" s="274"/>
      <c r="F135" s="274"/>
      <c r="G135" s="274"/>
      <c r="H135" s="274"/>
      <c r="I135" s="274"/>
      <c r="J135" s="274"/>
      <c r="K135" s="274"/>
      <c r="L135" s="357">
        <f>L126+R53</f>
        <v>185905498</v>
      </c>
      <c r="N135" s="274"/>
      <c r="O135" s="274"/>
      <c r="P135" s="274"/>
      <c r="Q135" s="274"/>
      <c r="R135" s="274"/>
      <c r="S135" s="274"/>
      <c r="T135" s="274"/>
    </row>
    <row r="136" spans="1:20" s="284" customFormat="1" x14ac:dyDescent="0.25">
      <c r="A136" s="274"/>
      <c r="B136" s="274"/>
      <c r="C136" s="274"/>
      <c r="D136" s="274"/>
      <c r="E136" s="274"/>
      <c r="F136" s="274"/>
      <c r="G136" s="274"/>
      <c r="H136" s="274"/>
      <c r="I136" s="274"/>
      <c r="J136" s="274"/>
      <c r="K136" s="274"/>
      <c r="L136" s="274"/>
      <c r="N136" s="274"/>
      <c r="O136" s="274"/>
      <c r="P136" s="274"/>
      <c r="Q136" s="274"/>
      <c r="R136" s="274"/>
      <c r="S136" s="274"/>
      <c r="T136" s="274"/>
    </row>
    <row r="137" spans="1:20" s="284" customFormat="1" x14ac:dyDescent="0.25">
      <c r="A137" s="274"/>
      <c r="B137" s="274"/>
      <c r="C137" s="274"/>
      <c r="D137" s="274"/>
      <c r="E137" s="274"/>
      <c r="F137" s="274"/>
      <c r="G137" s="274"/>
      <c r="H137" s="274"/>
      <c r="I137" s="274"/>
      <c r="J137" s="274"/>
      <c r="K137" s="274"/>
      <c r="L137" s="274"/>
      <c r="N137" s="274"/>
      <c r="O137" s="274"/>
      <c r="P137" s="274"/>
      <c r="Q137" s="274"/>
      <c r="R137" s="274"/>
      <c r="S137" s="274"/>
      <c r="T137" s="274"/>
    </row>
    <row r="138" spans="1:20" s="284" customFormat="1" x14ac:dyDescent="0.25">
      <c r="A138" s="274"/>
      <c r="B138" s="274"/>
      <c r="C138" s="274"/>
      <c r="D138" s="274"/>
      <c r="E138" s="274"/>
      <c r="F138" s="274"/>
      <c r="G138" s="274"/>
      <c r="H138" s="274"/>
      <c r="I138" s="274"/>
      <c r="J138" s="274"/>
      <c r="K138" s="274"/>
      <c r="L138" s="274"/>
      <c r="N138" s="274"/>
      <c r="O138" s="274"/>
      <c r="P138" s="274"/>
      <c r="Q138" s="274"/>
      <c r="R138" s="274"/>
      <c r="S138" s="274"/>
      <c r="T138" s="274"/>
    </row>
    <row r="139" spans="1:20" s="284" customFormat="1" x14ac:dyDescent="0.25">
      <c r="A139" s="274"/>
      <c r="B139" s="274"/>
      <c r="C139" s="274"/>
      <c r="D139" s="274"/>
      <c r="E139" s="274"/>
      <c r="F139" s="274"/>
      <c r="G139" s="274"/>
      <c r="H139" s="274"/>
      <c r="I139" s="274"/>
      <c r="J139" s="274"/>
      <c r="K139" s="274"/>
      <c r="L139" s="274"/>
      <c r="N139" s="274"/>
      <c r="O139" s="274"/>
      <c r="P139" s="274"/>
      <c r="Q139" s="274"/>
      <c r="R139" s="274"/>
      <c r="S139" s="274"/>
      <c r="T139" s="274"/>
    </row>
    <row r="140" spans="1:20" s="284" customFormat="1" x14ac:dyDescent="0.25">
      <c r="A140" s="274"/>
      <c r="B140" s="274"/>
      <c r="C140" s="274"/>
      <c r="D140" s="274"/>
      <c r="E140" s="274"/>
      <c r="F140" s="274"/>
      <c r="G140" s="274"/>
      <c r="H140" s="274"/>
      <c r="I140" s="274"/>
      <c r="J140" s="274"/>
      <c r="K140" s="274"/>
      <c r="L140" s="274"/>
      <c r="N140" s="274"/>
      <c r="O140" s="274"/>
      <c r="P140" s="274"/>
      <c r="Q140" s="274"/>
      <c r="R140" s="274"/>
      <c r="S140" s="274"/>
      <c r="T140" s="274"/>
    </row>
    <row r="141" spans="1:20" s="284" customFormat="1" x14ac:dyDescent="0.25">
      <c r="A141" s="274"/>
      <c r="B141" s="274"/>
      <c r="C141" s="274"/>
      <c r="D141" s="274"/>
      <c r="E141" s="274"/>
      <c r="F141" s="274"/>
      <c r="G141" s="274"/>
      <c r="H141" s="274"/>
      <c r="I141" s="274"/>
      <c r="J141" s="274"/>
      <c r="K141" s="274"/>
      <c r="L141" s="274"/>
      <c r="N141" s="274"/>
      <c r="O141" s="274"/>
      <c r="P141" s="274"/>
      <c r="Q141" s="274"/>
      <c r="R141" s="274"/>
      <c r="S141" s="274"/>
      <c r="T141" s="274"/>
    </row>
    <row r="142" spans="1:20" s="284" customFormat="1" x14ac:dyDescent="0.25">
      <c r="A142" s="274"/>
      <c r="B142" s="274"/>
      <c r="C142" s="274"/>
      <c r="D142" s="274"/>
      <c r="E142" s="274"/>
      <c r="F142" s="274"/>
      <c r="G142" s="274"/>
      <c r="H142" s="274"/>
      <c r="I142" s="274"/>
      <c r="J142" s="274"/>
      <c r="K142" s="274"/>
      <c r="L142" s="274"/>
      <c r="N142" s="274"/>
      <c r="O142" s="274"/>
      <c r="P142" s="274"/>
      <c r="Q142" s="274"/>
      <c r="R142" s="274"/>
      <c r="S142" s="274"/>
      <c r="T142" s="274"/>
    </row>
    <row r="143" spans="1:20" s="284" customFormat="1" x14ac:dyDescent="0.25">
      <c r="A143" s="274"/>
      <c r="B143" s="274"/>
      <c r="C143" s="274"/>
      <c r="D143" s="274"/>
      <c r="E143" s="274"/>
      <c r="F143" s="274"/>
      <c r="G143" s="274"/>
      <c r="H143" s="274"/>
      <c r="I143" s="274"/>
      <c r="J143" s="274"/>
      <c r="K143" s="274"/>
      <c r="L143" s="274"/>
      <c r="N143" s="274"/>
      <c r="O143" s="274"/>
      <c r="P143" s="274"/>
      <c r="Q143" s="274"/>
      <c r="R143" s="274"/>
      <c r="S143" s="274"/>
      <c r="T143" s="274"/>
    </row>
    <row r="144" spans="1:20" s="284" customFormat="1" x14ac:dyDescent="0.25">
      <c r="A144" s="274"/>
      <c r="B144" s="274"/>
      <c r="C144" s="274"/>
      <c r="D144" s="274"/>
      <c r="E144" s="274"/>
      <c r="F144" s="274"/>
      <c r="G144" s="274"/>
      <c r="H144" s="274"/>
      <c r="I144" s="274"/>
      <c r="J144" s="274"/>
      <c r="K144" s="274"/>
      <c r="L144" s="274"/>
      <c r="N144" s="274"/>
      <c r="O144" s="274"/>
      <c r="P144" s="274"/>
      <c r="Q144" s="274"/>
      <c r="R144" s="274"/>
      <c r="S144" s="274"/>
      <c r="T144" s="274"/>
    </row>
    <row r="145" spans="1:20" s="284" customFormat="1" x14ac:dyDescent="0.25">
      <c r="A145" s="274"/>
      <c r="B145" s="274"/>
      <c r="C145" s="274"/>
      <c r="D145" s="274"/>
      <c r="E145" s="274"/>
      <c r="F145" s="274"/>
      <c r="G145" s="274"/>
      <c r="H145" s="274"/>
      <c r="I145" s="274"/>
      <c r="J145" s="274"/>
      <c r="K145" s="274"/>
      <c r="L145" s="274"/>
      <c r="N145" s="274"/>
      <c r="O145" s="274"/>
      <c r="P145" s="274"/>
      <c r="Q145" s="274"/>
      <c r="R145" s="274"/>
      <c r="S145" s="274"/>
      <c r="T145" s="274"/>
    </row>
    <row r="146" spans="1:20" ht="23.25" x14ac:dyDescent="0.35">
      <c r="A146" s="1284" t="s">
        <v>1017</v>
      </c>
      <c r="B146" s="1284"/>
      <c r="C146" s="1284"/>
      <c r="D146" s="1284"/>
      <c r="E146" s="1284"/>
      <c r="F146" s="1284"/>
      <c r="G146" s="1284"/>
      <c r="H146" s="1284"/>
      <c r="I146" s="1284"/>
      <c r="J146" s="1284"/>
      <c r="K146" s="1284"/>
      <c r="L146" s="1284"/>
    </row>
    <row r="147" spans="1:20" x14ac:dyDescent="0.25">
      <c r="A147" s="284"/>
      <c r="K147" s="284"/>
    </row>
    <row r="148" spans="1:20" x14ac:dyDescent="0.25">
      <c r="S148" s="331"/>
      <c r="T148" s="331"/>
    </row>
    <row r="150" spans="1:20" x14ac:dyDescent="0.25">
      <c r="A150" s="946"/>
      <c r="B150" s="284"/>
      <c r="C150" s="1285"/>
      <c r="D150" s="1285"/>
      <c r="E150" s="946"/>
      <c r="F150" s="946"/>
      <c r="G150" s="946"/>
      <c r="H150" s="946"/>
      <c r="I150" s="946"/>
      <c r="J150" s="284"/>
      <c r="K150" s="1285"/>
      <c r="L150" s="1285"/>
    </row>
    <row r="151" spans="1:20" s="284" customFormat="1" x14ac:dyDescent="0.25">
      <c r="A151" s="947"/>
      <c r="B151" s="274"/>
      <c r="C151" s="1286"/>
      <c r="D151" s="1286"/>
      <c r="E151" s="947"/>
      <c r="F151" s="947"/>
      <c r="G151" s="947"/>
      <c r="H151" s="947"/>
      <c r="I151" s="947"/>
      <c r="J151" s="274"/>
      <c r="K151" s="1286"/>
      <c r="L151" s="1286"/>
      <c r="N151" s="274"/>
      <c r="O151" s="274"/>
      <c r="P151" s="274"/>
      <c r="Q151" s="331"/>
      <c r="R151" s="331"/>
    </row>
    <row r="152" spans="1:20" x14ac:dyDescent="0.25">
      <c r="Q152" s="284"/>
      <c r="S152" s="946"/>
    </row>
    <row r="153" spans="1:20" x14ac:dyDescent="0.25">
      <c r="S153" s="947"/>
    </row>
    <row r="155" spans="1:20" x14ac:dyDescent="0.25">
      <c r="Q155" s="946"/>
      <c r="R155" s="946"/>
    </row>
    <row r="156" spans="1:20" x14ac:dyDescent="0.25">
      <c r="Q156" s="947"/>
      <c r="R156" s="947"/>
    </row>
  </sheetData>
  <mergeCells count="56">
    <mergeCell ref="O20:Q20"/>
    <mergeCell ref="A1:L1"/>
    <mergeCell ref="A2:L2"/>
    <mergeCell ref="A4:E4"/>
    <mergeCell ref="N7:R7"/>
    <mergeCell ref="N8:R8"/>
    <mergeCell ref="N10:R10"/>
    <mergeCell ref="O13:Q13"/>
    <mergeCell ref="O16:Q16"/>
    <mergeCell ref="O17:Q17"/>
    <mergeCell ref="O18:Q18"/>
    <mergeCell ref="O19:Q19"/>
    <mergeCell ref="O32:Q32"/>
    <mergeCell ref="O21:Q21"/>
    <mergeCell ref="O22:Q22"/>
    <mergeCell ref="O23:Q23"/>
    <mergeCell ref="O24:Q24"/>
    <mergeCell ref="O25:Q25"/>
    <mergeCell ref="O26:Q26"/>
    <mergeCell ref="O27:Q27"/>
    <mergeCell ref="O28:Q28"/>
    <mergeCell ref="O29:Q29"/>
    <mergeCell ref="O30:Q30"/>
    <mergeCell ref="O31:Q31"/>
    <mergeCell ref="O45:Q45"/>
    <mergeCell ref="O33:Q33"/>
    <mergeCell ref="O34:Q34"/>
    <mergeCell ref="O36:Q36"/>
    <mergeCell ref="O37:Q37"/>
    <mergeCell ref="O38:Q38"/>
    <mergeCell ref="O39:Q39"/>
    <mergeCell ref="O40:Q40"/>
    <mergeCell ref="O41:Q41"/>
    <mergeCell ref="O42:Q42"/>
    <mergeCell ref="O43:Q43"/>
    <mergeCell ref="O44:Q44"/>
    <mergeCell ref="O47:Q47"/>
    <mergeCell ref="O63:P63"/>
    <mergeCell ref="Q63:R63"/>
    <mergeCell ref="O64:P64"/>
    <mergeCell ref="Q64:R64"/>
    <mergeCell ref="O48:Q48"/>
    <mergeCell ref="O49:Q49"/>
    <mergeCell ref="O50:Q50"/>
    <mergeCell ref="O51:Q51"/>
    <mergeCell ref="N72:R72"/>
    <mergeCell ref="A71:L71"/>
    <mergeCell ref="C132:G132"/>
    <mergeCell ref="K132:L132"/>
    <mergeCell ref="C133:G133"/>
    <mergeCell ref="K133:L133"/>
    <mergeCell ref="A146:L146"/>
    <mergeCell ref="C150:D150"/>
    <mergeCell ref="K150:L150"/>
    <mergeCell ref="C151:D151"/>
    <mergeCell ref="K151:L151"/>
  </mergeCells>
  <printOptions horizontalCentered="1"/>
  <pageMargins left="0.25" right="0.25" top="0.75" bottom="0.25" header="0.3" footer="0.3"/>
  <pageSetup paperSize="14" scale="7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251"/>
  <sheetViews>
    <sheetView workbookViewId="0">
      <selection activeCell="J201" sqref="J201"/>
    </sheetView>
  </sheetViews>
  <sheetFormatPr defaultRowHeight="12.75" x14ac:dyDescent="0.2"/>
  <cols>
    <col min="1" max="1" width="6.7109375" customWidth="1"/>
    <col min="2" max="2" width="8.28515625" customWidth="1"/>
    <col min="3" max="3" width="18.42578125" customWidth="1"/>
    <col min="6" max="6" width="9.28515625" customWidth="1"/>
    <col min="7" max="7" width="11" customWidth="1"/>
    <col min="8" max="8" width="15.7109375" customWidth="1"/>
    <col min="9" max="9" width="6.7109375" customWidth="1"/>
    <col min="10" max="10" width="14.5703125" bestFit="1" customWidth="1"/>
    <col min="11" max="11" width="11.28515625" bestFit="1" customWidth="1"/>
  </cols>
  <sheetData>
    <row r="3" spans="1:9" ht="16.5" x14ac:dyDescent="0.3">
      <c r="A3" s="1308" t="s">
        <v>181</v>
      </c>
      <c r="B3" s="1308"/>
      <c r="C3" s="1308"/>
      <c r="D3" s="1308"/>
      <c r="E3" s="1308"/>
      <c r="F3" s="1308"/>
      <c r="G3" s="1308"/>
      <c r="H3" s="1308"/>
      <c r="I3" s="1308"/>
    </row>
    <row r="4" spans="1:9" ht="16.5" x14ac:dyDescent="0.3">
      <c r="A4" s="1308" t="s">
        <v>182</v>
      </c>
      <c r="B4" s="1308"/>
      <c r="C4" s="1308"/>
      <c r="D4" s="1308"/>
      <c r="E4" s="1308"/>
      <c r="F4" s="1308"/>
      <c r="G4" s="1308"/>
      <c r="H4" s="1308"/>
      <c r="I4" s="1308"/>
    </row>
    <row r="5" spans="1:9" x14ac:dyDescent="0.2">
      <c r="A5" s="1309" t="s">
        <v>183</v>
      </c>
      <c r="B5" s="1309"/>
      <c r="C5" s="1309"/>
      <c r="D5" s="1309"/>
      <c r="E5" s="1309"/>
      <c r="F5" s="1309"/>
      <c r="G5" s="1309"/>
      <c r="H5" s="1309"/>
      <c r="I5" s="1309"/>
    </row>
    <row r="6" spans="1:9" x14ac:dyDescent="0.2">
      <c r="A6" s="103"/>
      <c r="B6" s="103"/>
      <c r="C6" s="103"/>
      <c r="D6" s="103"/>
      <c r="E6" s="103"/>
      <c r="F6" s="103"/>
      <c r="G6" s="103"/>
      <c r="H6" s="103"/>
      <c r="I6" s="103"/>
    </row>
    <row r="7" spans="1:9" x14ac:dyDescent="0.2">
      <c r="A7" s="103"/>
      <c r="B7" s="103"/>
      <c r="C7" s="103"/>
      <c r="D7" s="103"/>
      <c r="E7" s="103"/>
      <c r="F7" s="103"/>
      <c r="G7" s="103"/>
      <c r="H7" s="103"/>
      <c r="I7" s="103"/>
    </row>
    <row r="8" spans="1:9" x14ac:dyDescent="0.2">
      <c r="A8" s="103"/>
      <c r="B8" s="103"/>
      <c r="C8" s="103"/>
      <c r="D8" s="103"/>
      <c r="E8" s="103"/>
      <c r="F8" s="103"/>
      <c r="G8" s="103"/>
      <c r="H8" s="103"/>
      <c r="I8" s="103"/>
    </row>
    <row r="9" spans="1:9" ht="15.75" x14ac:dyDescent="0.25">
      <c r="A9" s="1306" t="s">
        <v>184</v>
      </c>
      <c r="B9" s="1306"/>
      <c r="C9" s="1306"/>
      <c r="D9" s="1306"/>
      <c r="E9" s="1306"/>
      <c r="F9" s="1306"/>
      <c r="G9" s="1306"/>
      <c r="H9" s="1306"/>
      <c r="I9" s="1306"/>
    </row>
    <row r="10" spans="1:9" ht="13.5" customHeight="1" x14ac:dyDescent="0.2">
      <c r="A10" s="6"/>
      <c r="B10" s="6"/>
      <c r="C10" s="6"/>
      <c r="D10" s="6"/>
      <c r="E10" s="6"/>
      <c r="F10" s="6"/>
      <c r="G10" s="6"/>
      <c r="H10" s="6"/>
      <c r="I10" s="6"/>
    </row>
    <row r="11" spans="1:9" ht="15.75" x14ac:dyDescent="0.25">
      <c r="A11" s="1307" t="s">
        <v>1659</v>
      </c>
      <c r="B11" s="1307"/>
      <c r="C11" s="1307"/>
      <c r="D11" s="1307"/>
      <c r="E11" s="1307"/>
      <c r="F11" s="1307"/>
      <c r="G11" s="1307"/>
      <c r="H11" s="1307"/>
      <c r="I11" s="1307"/>
    </row>
    <row r="12" spans="1:9" ht="7.5" customHeight="1" x14ac:dyDescent="0.2">
      <c r="A12" s="6"/>
      <c r="B12" s="6"/>
      <c r="C12" s="6"/>
      <c r="D12" s="6"/>
      <c r="E12" s="6"/>
      <c r="F12" s="6"/>
      <c r="G12" s="6"/>
      <c r="H12" s="6"/>
      <c r="I12" s="6"/>
    </row>
    <row r="13" spans="1:9" ht="7.5" customHeight="1" x14ac:dyDescent="0.2">
      <c r="A13" s="6"/>
      <c r="B13" s="6"/>
      <c r="C13" s="6"/>
      <c r="D13" s="6"/>
      <c r="E13" s="6"/>
      <c r="F13" s="6"/>
      <c r="G13" s="6"/>
      <c r="H13" s="6"/>
      <c r="I13" s="6"/>
    </row>
    <row r="14" spans="1:9" ht="7.5" customHeight="1" x14ac:dyDescent="0.2">
      <c r="A14" s="6"/>
      <c r="B14" s="6"/>
      <c r="C14" s="6"/>
      <c r="D14" s="6"/>
      <c r="E14" s="6"/>
      <c r="F14" s="6"/>
      <c r="G14" s="6"/>
      <c r="H14" s="6"/>
      <c r="I14" s="6"/>
    </row>
    <row r="15" spans="1:9" ht="7.5" customHeight="1" x14ac:dyDescent="0.2">
      <c r="A15" s="6"/>
      <c r="B15" s="6"/>
      <c r="C15" s="6"/>
      <c r="D15" s="6"/>
      <c r="E15" s="6"/>
      <c r="F15" s="6"/>
      <c r="G15" s="6"/>
      <c r="H15" s="6"/>
      <c r="I15" s="6"/>
    </row>
    <row r="16" spans="1:9" x14ac:dyDescent="0.2">
      <c r="A16" s="6" t="s">
        <v>185</v>
      </c>
      <c r="B16" s="2" t="s">
        <v>186</v>
      </c>
      <c r="C16" s="7" t="s">
        <v>187</v>
      </c>
      <c r="D16" s="6"/>
      <c r="E16" s="6"/>
      <c r="F16" s="6"/>
      <c r="G16" s="6"/>
      <c r="H16" s="6"/>
      <c r="I16" s="6"/>
    </row>
    <row r="17" spans="1:11" x14ac:dyDescent="0.2">
      <c r="A17" s="8"/>
      <c r="B17" s="9" t="s">
        <v>188</v>
      </c>
      <c r="C17" s="9"/>
      <c r="D17" s="6"/>
      <c r="E17" s="6"/>
      <c r="F17" s="6"/>
      <c r="G17" s="6"/>
      <c r="H17" s="6"/>
      <c r="I17" s="6"/>
    </row>
    <row r="18" spans="1:11" x14ac:dyDescent="0.2">
      <c r="A18" s="6"/>
      <c r="B18" s="6" t="s">
        <v>189</v>
      </c>
      <c r="C18" s="6"/>
      <c r="D18" s="6"/>
      <c r="E18" s="6"/>
      <c r="F18" s="6"/>
      <c r="G18" s="6"/>
      <c r="H18" s="10">
        <f>'LBP NO. 1'!N29</f>
        <v>5295000</v>
      </c>
      <c r="I18" s="6"/>
    </row>
    <row r="19" spans="1:11" x14ac:dyDescent="0.2">
      <c r="A19" s="6"/>
      <c r="B19" s="6" t="s">
        <v>190</v>
      </c>
      <c r="C19" s="6"/>
      <c r="D19" s="6"/>
      <c r="E19" s="6"/>
      <c r="F19" s="6"/>
      <c r="G19" s="6"/>
      <c r="H19" s="10">
        <f>'LBP NO. 1'!N60</f>
        <v>3817000</v>
      </c>
      <c r="I19" s="6"/>
    </row>
    <row r="20" spans="1:11" x14ac:dyDescent="0.2">
      <c r="A20" s="6"/>
      <c r="B20" s="6" t="s">
        <v>191</v>
      </c>
      <c r="C20" s="6"/>
      <c r="D20" s="6"/>
      <c r="E20" s="6"/>
      <c r="F20" s="6"/>
      <c r="G20" s="6"/>
      <c r="H20" s="11">
        <f>'LBP NO. 1'!N63</f>
        <v>165000000</v>
      </c>
      <c r="I20" s="6"/>
    </row>
    <row r="21" spans="1:11" ht="13.5" thickBot="1" x14ac:dyDescent="0.25">
      <c r="A21" s="6"/>
      <c r="B21" s="6"/>
      <c r="C21" s="7" t="s">
        <v>192</v>
      </c>
      <c r="D21" s="6"/>
      <c r="E21" s="6"/>
      <c r="F21" s="6"/>
      <c r="G21" s="6"/>
      <c r="H21" s="12">
        <f>SUM(H18:H20)</f>
        <v>174112000</v>
      </c>
      <c r="I21" s="6"/>
    </row>
    <row r="22" spans="1:11" x14ac:dyDescent="0.2">
      <c r="A22" s="8"/>
      <c r="B22" s="9" t="s">
        <v>193</v>
      </c>
      <c r="C22" s="9"/>
      <c r="D22" s="6"/>
      <c r="E22" s="6"/>
      <c r="F22" s="6"/>
      <c r="G22" s="6"/>
      <c r="H22" s="10"/>
      <c r="I22" s="6"/>
    </row>
    <row r="23" spans="1:11" x14ac:dyDescent="0.2">
      <c r="A23" s="8"/>
      <c r="B23" s="8" t="s">
        <v>194</v>
      </c>
      <c r="C23" s="9"/>
      <c r="D23" s="6"/>
      <c r="E23" s="6"/>
      <c r="F23" s="6"/>
      <c r="G23" s="6"/>
      <c r="H23" s="10">
        <f>'LBP NO. 1'!N233</f>
        <v>3400000</v>
      </c>
      <c r="I23" s="6"/>
    </row>
    <row r="24" spans="1:11" x14ac:dyDescent="0.2">
      <c r="A24" s="8"/>
      <c r="B24" s="8" t="s">
        <v>195</v>
      </c>
      <c r="C24" s="9"/>
      <c r="D24" s="6"/>
      <c r="E24" s="6"/>
      <c r="F24" s="6"/>
      <c r="G24" s="6"/>
      <c r="H24" s="11">
        <f>'LBP NO. 1'!N249</f>
        <v>8693000</v>
      </c>
      <c r="I24" s="6"/>
    </row>
    <row r="25" spans="1:11" ht="13.5" thickBot="1" x14ac:dyDescent="0.25">
      <c r="A25" s="8"/>
      <c r="B25" s="9"/>
      <c r="C25" s="7" t="s">
        <v>192</v>
      </c>
      <c r="D25" s="6"/>
      <c r="E25" s="6"/>
      <c r="F25" s="6"/>
      <c r="G25" s="6"/>
      <c r="H25" s="13">
        <f>SUM(H23:H24)</f>
        <v>12093000</v>
      </c>
      <c r="I25" s="6"/>
    </row>
    <row r="26" spans="1:11" x14ac:dyDescent="0.2">
      <c r="A26" s="8"/>
      <c r="B26" s="9"/>
      <c r="C26" s="7"/>
      <c r="D26" s="6"/>
      <c r="E26" s="6"/>
      <c r="F26" s="6"/>
      <c r="G26" s="6"/>
      <c r="H26" s="30"/>
      <c r="I26" s="6"/>
    </row>
    <row r="27" spans="1:11" ht="13.5" thickBot="1" x14ac:dyDescent="0.25">
      <c r="A27" s="8"/>
      <c r="B27" s="9"/>
      <c r="C27" s="7" t="s">
        <v>43</v>
      </c>
      <c r="D27" s="6"/>
      <c r="E27" s="6"/>
      <c r="F27" s="6"/>
      <c r="G27" s="6"/>
      <c r="H27" s="31">
        <f>+H21+H25</f>
        <v>186205000</v>
      </c>
      <c r="I27" s="6"/>
    </row>
    <row r="28" spans="1:11" ht="6" customHeight="1" thickTop="1" x14ac:dyDescent="0.2">
      <c r="A28" s="6"/>
      <c r="B28" s="6"/>
      <c r="C28" s="6"/>
      <c r="D28" s="6"/>
      <c r="E28" s="6"/>
      <c r="F28" s="6"/>
      <c r="G28" s="6"/>
      <c r="H28" s="10"/>
      <c r="I28" s="6"/>
    </row>
    <row r="29" spans="1:11" x14ac:dyDescent="0.2">
      <c r="A29" s="6" t="s">
        <v>185</v>
      </c>
      <c r="B29" s="2" t="s">
        <v>196</v>
      </c>
      <c r="C29" s="7" t="s">
        <v>197</v>
      </c>
      <c r="D29" s="6"/>
      <c r="E29" s="6"/>
      <c r="F29" s="6"/>
      <c r="G29" s="6"/>
      <c r="H29" s="10"/>
      <c r="I29" s="6"/>
    </row>
    <row r="30" spans="1:11" x14ac:dyDescent="0.2">
      <c r="A30" s="14"/>
      <c r="B30" s="15" t="s">
        <v>198</v>
      </c>
      <c r="C30" s="7"/>
      <c r="D30" s="6"/>
      <c r="E30" s="6"/>
      <c r="F30" s="6"/>
      <c r="G30" s="6"/>
      <c r="H30" s="10"/>
      <c r="I30" s="6"/>
    </row>
    <row r="31" spans="1:11" x14ac:dyDescent="0.2">
      <c r="A31" s="6"/>
      <c r="B31" s="7" t="s">
        <v>199</v>
      </c>
      <c r="C31" s="6"/>
      <c r="D31" s="6"/>
      <c r="E31" s="6"/>
      <c r="F31" s="6"/>
      <c r="G31" s="6"/>
      <c r="H31" s="10"/>
      <c r="I31" s="6"/>
    </row>
    <row r="32" spans="1:11" x14ac:dyDescent="0.2">
      <c r="A32" s="6"/>
      <c r="B32" s="6" t="s">
        <v>200</v>
      </c>
      <c r="C32" s="6"/>
      <c r="D32" s="6"/>
      <c r="E32" s="6"/>
      <c r="F32" s="6"/>
      <c r="G32" s="6"/>
      <c r="H32" s="10">
        <f>'LBP NO. 2'!M34</f>
        <v>7065654</v>
      </c>
      <c r="I32" s="6"/>
      <c r="J32" s="41"/>
      <c r="K32" s="29"/>
    </row>
    <row r="33" spans="1:11" x14ac:dyDescent="0.2">
      <c r="A33" s="6"/>
      <c r="B33" s="6" t="s">
        <v>201</v>
      </c>
      <c r="C33" s="6"/>
      <c r="D33" s="6"/>
      <c r="E33" s="6"/>
      <c r="F33" s="6"/>
      <c r="G33" s="6"/>
      <c r="H33" s="10">
        <f>'LBP NO. 2'!M104</f>
        <v>18449378</v>
      </c>
      <c r="I33" s="6"/>
      <c r="J33" s="41"/>
      <c r="K33" s="29"/>
    </row>
    <row r="34" spans="1:11" x14ac:dyDescent="0.2">
      <c r="A34" s="6"/>
      <c r="B34" s="6" t="s">
        <v>202</v>
      </c>
      <c r="C34" s="6"/>
      <c r="D34" s="6"/>
      <c r="E34" s="6"/>
      <c r="F34" s="6"/>
      <c r="G34" s="6"/>
      <c r="H34" s="10">
        <f>'LBP NO. 2'!M171</f>
        <v>2244584</v>
      </c>
      <c r="I34" s="6"/>
      <c r="J34" s="41"/>
      <c r="K34" s="29"/>
    </row>
    <row r="35" spans="1:11" x14ac:dyDescent="0.2">
      <c r="A35" s="6"/>
      <c r="B35" s="6" t="s">
        <v>203</v>
      </c>
      <c r="C35" s="6"/>
      <c r="D35" s="6"/>
      <c r="E35" s="6"/>
      <c r="F35" s="6"/>
      <c r="G35" s="6"/>
      <c r="H35" s="10">
        <f>'LBP NO. 2'!M238</f>
        <v>2013438</v>
      </c>
      <c r="I35" s="6"/>
      <c r="J35" s="41"/>
      <c r="K35" s="29"/>
    </row>
    <row r="36" spans="1:11" x14ac:dyDescent="0.2">
      <c r="A36" s="6"/>
      <c r="B36" s="6" t="s">
        <v>204</v>
      </c>
      <c r="C36" s="6"/>
      <c r="D36" s="6"/>
      <c r="E36" s="6"/>
      <c r="F36" s="6"/>
      <c r="G36" s="6"/>
      <c r="H36" s="10">
        <f>'LBP NO. 2'!M309</f>
        <v>2161780</v>
      </c>
      <c r="I36" s="6"/>
      <c r="J36" s="41"/>
      <c r="K36" s="29"/>
    </row>
    <row r="37" spans="1:11" x14ac:dyDescent="0.2">
      <c r="A37" s="6"/>
      <c r="B37" s="6" t="s">
        <v>205</v>
      </c>
      <c r="C37" s="6"/>
      <c r="D37" s="6"/>
      <c r="E37" s="6"/>
      <c r="F37" s="6"/>
      <c r="G37" s="6"/>
      <c r="H37" s="10">
        <f>'LBP NO. 2'!M377</f>
        <v>2617436</v>
      </c>
      <c r="I37" s="6"/>
      <c r="J37" s="41"/>
      <c r="K37" s="29"/>
    </row>
    <row r="38" spans="1:11" x14ac:dyDescent="0.2">
      <c r="A38" s="6"/>
      <c r="B38" s="6" t="s">
        <v>206</v>
      </c>
      <c r="C38" s="6"/>
      <c r="D38" s="6"/>
      <c r="E38" s="6"/>
      <c r="F38" s="6"/>
      <c r="G38" s="6"/>
      <c r="H38" s="10">
        <f>'LBP NO. 2'!M446</f>
        <v>4572309</v>
      </c>
      <c r="I38" s="6"/>
      <c r="J38" s="41"/>
      <c r="K38" s="29"/>
    </row>
    <row r="39" spans="1:11" x14ac:dyDescent="0.2">
      <c r="A39" s="6"/>
      <c r="B39" s="6" t="s">
        <v>207</v>
      </c>
      <c r="C39" s="6"/>
      <c r="D39" s="6"/>
      <c r="E39" s="6"/>
      <c r="F39" s="6"/>
      <c r="G39" s="6"/>
      <c r="H39" s="10">
        <f>'LBP NO. 2'!M513</f>
        <v>2779008</v>
      </c>
      <c r="I39" s="6"/>
      <c r="J39" s="41"/>
      <c r="K39" s="29"/>
    </row>
    <row r="40" spans="1:11" x14ac:dyDescent="0.2">
      <c r="A40" s="6"/>
      <c r="B40" s="6" t="s">
        <v>208</v>
      </c>
      <c r="C40" s="6"/>
      <c r="D40" s="6"/>
      <c r="E40" s="6"/>
      <c r="F40" s="6"/>
      <c r="G40" s="6"/>
      <c r="H40" s="10">
        <f>'LBP NO. 2'!M582</f>
        <v>2425711</v>
      </c>
      <c r="I40" s="6"/>
      <c r="J40" s="41"/>
      <c r="K40" s="29"/>
    </row>
    <row r="41" spans="1:11" x14ac:dyDescent="0.2">
      <c r="A41" s="6"/>
      <c r="B41" s="6" t="s">
        <v>209</v>
      </c>
      <c r="C41" s="6"/>
      <c r="D41" s="6"/>
      <c r="E41" s="6"/>
      <c r="F41" s="6"/>
      <c r="G41" s="6"/>
      <c r="H41" s="10">
        <f>'LBP NO. 2'!M652</f>
        <v>2685850.8</v>
      </c>
      <c r="I41" s="6"/>
      <c r="J41" s="41"/>
      <c r="K41" s="29"/>
    </row>
    <row r="42" spans="1:11" x14ac:dyDescent="0.2">
      <c r="A42" s="6"/>
      <c r="B42" s="6" t="s">
        <v>210</v>
      </c>
      <c r="C42" s="6"/>
      <c r="D42" s="6"/>
      <c r="E42" s="6"/>
      <c r="F42" s="6"/>
      <c r="G42" s="6"/>
      <c r="H42" s="10">
        <f>'LBP NO. 2'!M719</f>
        <v>4217052</v>
      </c>
      <c r="I42" s="6"/>
      <c r="J42" s="41"/>
      <c r="K42" s="29"/>
    </row>
    <row r="43" spans="1:11" x14ac:dyDescent="0.2">
      <c r="A43" s="6"/>
      <c r="B43" s="6" t="s">
        <v>211</v>
      </c>
      <c r="C43" s="6"/>
      <c r="D43" s="6"/>
      <c r="E43" s="6"/>
      <c r="F43" s="6"/>
      <c r="G43" s="6"/>
      <c r="H43" s="10">
        <f>'LBP NO. 2'!M790</f>
        <v>7797265</v>
      </c>
      <c r="I43" s="6"/>
      <c r="J43" s="41"/>
      <c r="K43" s="29"/>
    </row>
    <row r="44" spans="1:11" x14ac:dyDescent="0.2">
      <c r="A44" s="6"/>
      <c r="B44" s="6" t="s">
        <v>212</v>
      </c>
      <c r="C44" s="6"/>
      <c r="D44" s="6"/>
      <c r="E44" s="6"/>
      <c r="F44" s="6"/>
      <c r="G44" s="6"/>
      <c r="H44" s="16">
        <f>'LBP NO. 2'!M854</f>
        <v>2932971</v>
      </c>
      <c r="I44" s="6"/>
      <c r="J44" s="41"/>
      <c r="K44" s="29"/>
    </row>
    <row r="45" spans="1:11" x14ac:dyDescent="0.2">
      <c r="A45" s="6"/>
      <c r="B45" s="6" t="s">
        <v>265</v>
      </c>
      <c r="C45" s="6"/>
      <c r="D45" s="6"/>
      <c r="E45" s="6"/>
      <c r="F45" s="6"/>
      <c r="G45" s="6"/>
      <c r="H45" s="16">
        <f>'LBP NO. 2'!M918</f>
        <v>993914</v>
      </c>
      <c r="I45" s="6"/>
      <c r="J45" s="50"/>
      <c r="K45" s="29"/>
    </row>
    <row r="46" spans="1:11" ht="13.5" thickBot="1" x14ac:dyDescent="0.25">
      <c r="A46" s="6"/>
      <c r="B46" s="6"/>
      <c r="C46" s="6"/>
      <c r="D46" s="7" t="s">
        <v>243</v>
      </c>
      <c r="E46" s="6"/>
      <c r="G46" s="6"/>
      <c r="H46" s="12">
        <f>SUM(H32:H45)</f>
        <v>62956350.799999997</v>
      </c>
      <c r="I46" s="6"/>
      <c r="J46" s="48">
        <f>H46-'LBP NO. 7'!L28</f>
        <v>0</v>
      </c>
    </row>
    <row r="47" spans="1:11" ht="15.75" customHeight="1" x14ac:dyDescent="0.2">
      <c r="A47" s="6"/>
      <c r="B47" s="6"/>
      <c r="C47" s="6"/>
      <c r="D47" s="6"/>
      <c r="E47" s="6"/>
      <c r="F47" s="7"/>
      <c r="G47" s="6"/>
      <c r="H47" s="17"/>
      <c r="I47" s="6"/>
    </row>
    <row r="48" spans="1:11" ht="15.75" customHeight="1" x14ac:dyDescent="0.2">
      <c r="A48" s="6"/>
      <c r="B48" s="6"/>
      <c r="C48" s="6"/>
      <c r="D48" s="6"/>
      <c r="E48" s="6"/>
      <c r="F48" s="7"/>
      <c r="G48" s="6"/>
      <c r="H48" s="17"/>
      <c r="I48" s="6"/>
    </row>
    <row r="49" spans="1:9" ht="15.75" customHeight="1" x14ac:dyDescent="0.2">
      <c r="A49" s="6"/>
      <c r="B49" s="6"/>
      <c r="C49" s="6"/>
      <c r="D49" s="6"/>
      <c r="E49" s="6"/>
      <c r="F49" s="7"/>
      <c r="G49" s="6"/>
      <c r="H49" s="17"/>
      <c r="I49" s="6"/>
    </row>
    <row r="50" spans="1:9" ht="15.75" customHeight="1" x14ac:dyDescent="0.2">
      <c r="A50" s="6"/>
      <c r="B50" s="6"/>
      <c r="C50" s="6"/>
      <c r="D50" s="6"/>
      <c r="E50" s="6"/>
      <c r="F50" s="7"/>
      <c r="G50" s="6"/>
      <c r="H50" s="17"/>
      <c r="I50" s="6"/>
    </row>
    <row r="51" spans="1:9" ht="15.75" customHeight="1" x14ac:dyDescent="0.2">
      <c r="A51" s="6"/>
      <c r="B51" s="6"/>
      <c r="C51" s="6"/>
      <c r="D51" s="6"/>
      <c r="E51" s="6"/>
      <c r="F51" s="7"/>
      <c r="G51" s="6"/>
      <c r="H51" s="17"/>
      <c r="I51" s="6"/>
    </row>
    <row r="52" spans="1:9" ht="15.75" customHeight="1" x14ac:dyDescent="0.2">
      <c r="A52" s="6"/>
      <c r="B52" s="6"/>
      <c r="C52" s="6"/>
      <c r="D52" s="6"/>
      <c r="E52" s="6"/>
      <c r="F52" s="7"/>
      <c r="G52" s="6"/>
      <c r="H52" s="17"/>
      <c r="I52" s="6"/>
    </row>
    <row r="53" spans="1:9" ht="15.75" customHeight="1" x14ac:dyDescent="0.2">
      <c r="A53" s="6"/>
      <c r="B53" s="6"/>
      <c r="C53" s="6"/>
      <c r="D53" s="6"/>
      <c r="E53" s="6"/>
      <c r="F53" s="7"/>
      <c r="G53" s="6"/>
      <c r="H53" s="17"/>
      <c r="I53" s="6"/>
    </row>
    <row r="54" spans="1:9" ht="15.75" customHeight="1" x14ac:dyDescent="0.2">
      <c r="A54" s="6"/>
      <c r="B54" s="6"/>
      <c r="C54" s="6"/>
      <c r="D54" s="6"/>
      <c r="E54" s="6"/>
      <c r="F54" s="7"/>
      <c r="G54" s="6"/>
      <c r="H54" s="17"/>
      <c r="I54" s="6"/>
    </row>
    <row r="55" spans="1:9" ht="15.75" customHeight="1" x14ac:dyDescent="0.2">
      <c r="A55" s="6"/>
      <c r="B55" s="6"/>
      <c r="C55" s="6"/>
      <c r="D55" s="6"/>
      <c r="E55" s="6"/>
      <c r="F55" s="7"/>
      <c r="G55" s="6"/>
      <c r="H55" s="17"/>
      <c r="I55" s="6"/>
    </row>
    <row r="56" spans="1:9" ht="15.75" customHeight="1" x14ac:dyDescent="0.2">
      <c r="A56" s="6"/>
      <c r="B56" s="6"/>
      <c r="C56" s="6"/>
      <c r="D56" s="6"/>
      <c r="E56" s="6"/>
      <c r="F56" s="7"/>
      <c r="G56" s="6"/>
      <c r="H56" s="17"/>
      <c r="I56" s="6"/>
    </row>
    <row r="57" spans="1:9" ht="15.75" customHeight="1" x14ac:dyDescent="0.2">
      <c r="A57" s="6"/>
      <c r="B57" s="6"/>
      <c r="C57" s="6"/>
      <c r="D57" s="6"/>
      <c r="E57" s="6"/>
      <c r="F57" s="7"/>
      <c r="G57" s="6"/>
      <c r="H57" s="17"/>
      <c r="I57" s="6"/>
    </row>
    <row r="58" spans="1:9" ht="15.75" customHeight="1" x14ac:dyDescent="0.2">
      <c r="A58" s="6"/>
      <c r="B58" s="6"/>
      <c r="C58" s="6"/>
      <c r="D58" s="6"/>
      <c r="E58" s="6"/>
      <c r="F58" s="7"/>
      <c r="G58" s="6"/>
      <c r="H58" s="17"/>
      <c r="I58" s="6"/>
    </row>
    <row r="59" spans="1:9" ht="15.75" customHeight="1" x14ac:dyDescent="0.2">
      <c r="A59" s="6"/>
      <c r="B59" s="6"/>
      <c r="C59" s="6"/>
      <c r="D59" s="6"/>
      <c r="E59" s="6"/>
      <c r="F59" s="7"/>
      <c r="G59" s="6"/>
      <c r="H59" s="17"/>
      <c r="I59" s="6"/>
    </row>
    <row r="60" spans="1:9" ht="15.75" customHeight="1" x14ac:dyDescent="0.2">
      <c r="A60" s="6"/>
      <c r="B60" s="6"/>
      <c r="C60" s="6"/>
      <c r="D60" s="6"/>
      <c r="E60" s="6"/>
      <c r="F60" s="7"/>
      <c r="G60" s="6"/>
      <c r="H60" s="17"/>
      <c r="I60" s="6"/>
    </row>
    <row r="61" spans="1:9" ht="15.75" customHeight="1" x14ac:dyDescent="0.2">
      <c r="A61" s="6"/>
      <c r="B61" s="6"/>
      <c r="C61" s="6"/>
      <c r="D61" s="6"/>
      <c r="E61" s="6"/>
      <c r="F61" s="7"/>
      <c r="G61" s="6"/>
      <c r="H61" s="17"/>
      <c r="I61" s="6"/>
    </row>
    <row r="62" spans="1:9" ht="15.75" customHeight="1" x14ac:dyDescent="0.2">
      <c r="A62" s="6"/>
      <c r="B62" s="6"/>
      <c r="C62" s="6"/>
      <c r="D62" s="6"/>
      <c r="E62" s="6"/>
      <c r="F62" s="7"/>
      <c r="G62" s="6"/>
      <c r="H62" s="17"/>
      <c r="I62" s="6"/>
    </row>
    <row r="63" spans="1:9" ht="22.5" customHeight="1" x14ac:dyDescent="0.35">
      <c r="A63" s="1310" t="s">
        <v>1532</v>
      </c>
      <c r="B63" s="1310"/>
      <c r="C63" s="1310"/>
      <c r="D63" s="1310"/>
      <c r="E63" s="1310"/>
      <c r="F63" s="1310"/>
      <c r="G63" s="1310"/>
      <c r="H63" s="1310"/>
      <c r="I63" s="1310"/>
    </row>
    <row r="64" spans="1:9" x14ac:dyDescent="0.2">
      <c r="A64" s="6"/>
      <c r="B64" s="7" t="s">
        <v>213</v>
      </c>
      <c r="C64" s="6"/>
      <c r="D64" s="6"/>
      <c r="E64" s="6"/>
      <c r="F64" s="6"/>
      <c r="G64" s="6"/>
      <c r="H64" s="10"/>
      <c r="I64" s="6"/>
    </row>
    <row r="65" spans="1:10" x14ac:dyDescent="0.2">
      <c r="A65" s="6"/>
      <c r="B65" s="6" t="s">
        <v>200</v>
      </c>
      <c r="C65" s="6"/>
      <c r="D65" s="6"/>
      <c r="E65" s="6"/>
      <c r="F65" s="6"/>
      <c r="G65" s="6"/>
      <c r="H65" s="10">
        <f>'LBP NO. 2'!M44</f>
        <v>3033366</v>
      </c>
      <c r="I65" s="6"/>
      <c r="J65" s="41"/>
    </row>
    <row r="66" spans="1:10" x14ac:dyDescent="0.2">
      <c r="A66" s="6"/>
      <c r="B66" s="6" t="s">
        <v>201</v>
      </c>
      <c r="C66" s="6"/>
      <c r="D66" s="6"/>
      <c r="E66" s="6"/>
      <c r="F66" s="6"/>
      <c r="G66" s="6"/>
      <c r="H66" s="10">
        <f>'LBP NO. 2'!M119</f>
        <v>5998000</v>
      </c>
      <c r="I66" s="6"/>
      <c r="J66" s="41"/>
    </row>
    <row r="67" spans="1:10" x14ac:dyDescent="0.2">
      <c r="A67" s="6"/>
      <c r="B67" s="6" t="s">
        <v>202</v>
      </c>
      <c r="C67" s="6"/>
      <c r="D67" s="6"/>
      <c r="E67" s="6"/>
      <c r="F67" s="6"/>
      <c r="G67" s="6"/>
      <c r="H67" s="10">
        <f>'LBP NO. 2'!M179</f>
        <v>458607</v>
      </c>
      <c r="I67" s="6"/>
      <c r="J67" s="41"/>
    </row>
    <row r="68" spans="1:10" x14ac:dyDescent="0.2">
      <c r="A68" s="6"/>
      <c r="B68" s="6" t="s">
        <v>203</v>
      </c>
      <c r="C68" s="6"/>
      <c r="D68" s="6"/>
      <c r="E68" s="6"/>
      <c r="F68" s="6"/>
      <c r="G68" s="6"/>
      <c r="H68" s="10">
        <f>'LBP NO. 2'!M247</f>
        <v>199250</v>
      </c>
      <c r="I68" s="6"/>
      <c r="J68" s="41"/>
    </row>
    <row r="69" spans="1:10" x14ac:dyDescent="0.2">
      <c r="A69" s="6"/>
      <c r="B69" s="6" t="s">
        <v>204</v>
      </c>
      <c r="C69" s="6"/>
      <c r="D69" s="6"/>
      <c r="E69" s="6"/>
      <c r="F69" s="6"/>
      <c r="G69" s="6"/>
      <c r="H69" s="10">
        <f>'LBP NO. 2'!M317</f>
        <v>310000</v>
      </c>
      <c r="I69" s="6"/>
      <c r="J69" s="41"/>
    </row>
    <row r="70" spans="1:10" x14ac:dyDescent="0.2">
      <c r="A70" s="6"/>
      <c r="B70" s="6" t="s">
        <v>205</v>
      </c>
      <c r="C70" s="6"/>
      <c r="D70" s="6"/>
      <c r="E70" s="6"/>
      <c r="F70" s="6"/>
      <c r="G70" s="6"/>
      <c r="H70" s="10">
        <f>'LBP NO. 2'!M385</f>
        <v>499245</v>
      </c>
      <c r="I70" s="6"/>
      <c r="J70" s="41"/>
    </row>
    <row r="71" spans="1:10" x14ac:dyDescent="0.2">
      <c r="A71" s="6"/>
      <c r="B71" s="6" t="s">
        <v>206</v>
      </c>
      <c r="C71" s="6"/>
      <c r="D71" s="6"/>
      <c r="E71" s="6"/>
      <c r="F71" s="6"/>
      <c r="G71" s="6"/>
      <c r="H71" s="10">
        <f>'LBP NO. 2'!M457</f>
        <v>904000</v>
      </c>
      <c r="I71" s="6"/>
      <c r="J71" s="41"/>
    </row>
    <row r="72" spans="1:10" x14ac:dyDescent="0.2">
      <c r="A72" s="6"/>
      <c r="B72" s="6" t="s">
        <v>207</v>
      </c>
      <c r="C72" s="6"/>
      <c r="D72" s="6"/>
      <c r="E72" s="6"/>
      <c r="F72" s="6"/>
      <c r="G72" s="6"/>
      <c r="H72" s="10">
        <f>'LBP NO. 2'!M522</f>
        <v>431500</v>
      </c>
      <c r="I72" s="6"/>
      <c r="J72" s="41"/>
    </row>
    <row r="73" spans="1:10" x14ac:dyDescent="0.2">
      <c r="A73" s="6"/>
      <c r="B73" s="6" t="s">
        <v>266</v>
      </c>
      <c r="C73" s="6"/>
      <c r="D73" s="6"/>
      <c r="E73" s="6"/>
      <c r="F73" s="6"/>
      <c r="G73" s="6"/>
      <c r="H73" s="10">
        <f>'LBP NO. 2'!M591</f>
        <v>234000</v>
      </c>
      <c r="I73" s="6"/>
      <c r="J73" s="41"/>
    </row>
    <row r="74" spans="1:10" x14ac:dyDescent="0.2">
      <c r="A74" s="6"/>
      <c r="B74" s="6" t="s">
        <v>209</v>
      </c>
      <c r="C74" s="6"/>
      <c r="D74" s="6"/>
      <c r="E74" s="6"/>
      <c r="F74" s="6"/>
      <c r="G74" s="6"/>
      <c r="H74" s="10">
        <f>'LBP NO. 2'!M662</f>
        <v>2433040</v>
      </c>
      <c r="I74" s="6"/>
      <c r="J74" s="41"/>
    </row>
    <row r="75" spans="1:10" x14ac:dyDescent="0.2">
      <c r="A75" s="6"/>
      <c r="B75" s="6" t="s">
        <v>210</v>
      </c>
      <c r="C75" s="6"/>
      <c r="D75" s="6"/>
      <c r="E75" s="6"/>
      <c r="F75" s="6"/>
      <c r="G75" s="6"/>
      <c r="H75" s="10">
        <f>'LBP NO. 2'!M729</f>
        <v>1264932.2</v>
      </c>
      <c r="I75" s="6"/>
      <c r="J75" s="41"/>
    </row>
    <row r="76" spans="1:10" x14ac:dyDescent="0.2">
      <c r="A76" s="6"/>
      <c r="B76" s="6" t="s">
        <v>211</v>
      </c>
      <c r="C76" s="6"/>
      <c r="D76" s="6"/>
      <c r="E76" s="6"/>
      <c r="F76" s="6"/>
      <c r="G76" s="6"/>
      <c r="H76" s="10">
        <f>'LBP NO. 2'!M800</f>
        <v>1986609</v>
      </c>
      <c r="I76" s="6"/>
      <c r="J76" s="41"/>
    </row>
    <row r="77" spans="1:10" x14ac:dyDescent="0.2">
      <c r="A77" s="6"/>
      <c r="B77" s="6" t="s">
        <v>212</v>
      </c>
      <c r="C77" s="6"/>
      <c r="D77" s="6"/>
      <c r="E77" s="6"/>
      <c r="F77" s="6"/>
      <c r="G77" s="6"/>
      <c r="H77" s="10">
        <f>'LBP NO. 2'!M862</f>
        <v>1588991</v>
      </c>
      <c r="I77" s="6"/>
      <c r="J77" s="50"/>
    </row>
    <row r="78" spans="1:10" x14ac:dyDescent="0.2">
      <c r="A78" s="6"/>
      <c r="B78" s="6" t="s">
        <v>265</v>
      </c>
      <c r="C78" s="6"/>
      <c r="D78" s="6"/>
      <c r="E78" s="6"/>
      <c r="F78" s="6"/>
      <c r="G78" s="6"/>
      <c r="H78" s="10">
        <f>'LBP NO. 2'!M926</f>
        <v>319000</v>
      </c>
      <c r="I78" s="6"/>
      <c r="J78" s="50"/>
    </row>
    <row r="79" spans="1:10" ht="13.5" thickBot="1" x14ac:dyDescent="0.25">
      <c r="A79" s="6"/>
      <c r="B79" s="6"/>
      <c r="C79" s="6" t="s">
        <v>180</v>
      </c>
      <c r="D79" s="7" t="s">
        <v>244</v>
      </c>
      <c r="E79" s="6"/>
      <c r="F79" s="7"/>
      <c r="G79" s="6"/>
      <c r="H79" s="12">
        <f>SUM(H65:H78)</f>
        <v>19660540.199999999</v>
      </c>
      <c r="I79" s="6"/>
      <c r="J79" s="50">
        <f>H79-'LBP NO. 7'!L48</f>
        <v>0</v>
      </c>
    </row>
    <row r="80" spans="1:10" ht="6.75" customHeight="1" x14ac:dyDescent="0.2">
      <c r="A80" s="6"/>
      <c r="B80" s="6"/>
      <c r="C80" s="6"/>
      <c r="D80" s="7"/>
      <c r="E80" s="6"/>
      <c r="F80" s="7"/>
      <c r="G80" s="6"/>
      <c r="H80" s="17"/>
      <c r="I80" s="6"/>
      <c r="J80" s="50"/>
    </row>
    <row r="81" spans="1:10" ht="6.75" customHeight="1" x14ac:dyDescent="0.2">
      <c r="A81" s="6"/>
      <c r="B81" s="6"/>
      <c r="C81" s="6"/>
      <c r="D81" s="7"/>
      <c r="E81" s="6"/>
      <c r="F81" s="7"/>
      <c r="G81" s="6"/>
      <c r="H81" s="17"/>
      <c r="I81" s="6"/>
      <c r="J81" s="50"/>
    </row>
    <row r="82" spans="1:10" x14ac:dyDescent="0.2">
      <c r="A82" s="6"/>
      <c r="B82" s="7" t="s">
        <v>214</v>
      </c>
      <c r="C82" s="6"/>
      <c r="D82" s="6"/>
      <c r="E82" s="6"/>
      <c r="F82" s="6"/>
      <c r="G82" s="6"/>
      <c r="H82" s="10"/>
      <c r="I82" s="6"/>
      <c r="J82" s="41"/>
    </row>
    <row r="83" spans="1:10" x14ac:dyDescent="0.2">
      <c r="A83" s="6"/>
      <c r="B83" s="6" t="s">
        <v>200</v>
      </c>
      <c r="C83" s="6"/>
      <c r="D83" s="6"/>
      <c r="E83" s="6"/>
      <c r="F83" s="6"/>
      <c r="G83" s="6"/>
      <c r="H83" s="10">
        <f>'LBP NO. 2'!M54</f>
        <v>5000000</v>
      </c>
      <c r="I83" s="6"/>
      <c r="J83" s="41"/>
    </row>
    <row r="84" spans="1:10" x14ac:dyDescent="0.2">
      <c r="A84" s="6"/>
      <c r="B84" s="6" t="s">
        <v>201</v>
      </c>
      <c r="C84" s="6"/>
      <c r="D84" s="6"/>
      <c r="E84" s="6"/>
      <c r="F84" s="6"/>
      <c r="G84" s="6"/>
      <c r="H84" s="10">
        <f>'LBP NO. 2'!M126</f>
        <v>600000</v>
      </c>
      <c r="I84" s="6"/>
      <c r="J84" s="41"/>
    </row>
    <row r="85" spans="1:10" x14ac:dyDescent="0.2">
      <c r="A85" s="6"/>
      <c r="B85" s="6" t="s">
        <v>202</v>
      </c>
      <c r="C85" s="6"/>
      <c r="D85" s="6"/>
      <c r="E85" s="6"/>
      <c r="F85" s="6"/>
      <c r="G85" s="6"/>
      <c r="H85" s="10">
        <f>'LBP NO. 2'!M184</f>
        <v>170000</v>
      </c>
      <c r="I85" s="6"/>
      <c r="J85" s="41"/>
    </row>
    <row r="86" spans="1:10" x14ac:dyDescent="0.2">
      <c r="A86" s="6"/>
      <c r="B86" s="6" t="s">
        <v>203</v>
      </c>
      <c r="C86" s="6"/>
      <c r="D86" s="6"/>
      <c r="E86" s="6"/>
      <c r="F86" s="6"/>
      <c r="G86" s="6"/>
      <c r="H86" s="10">
        <f>'LBP NO. 2'!M252</f>
        <v>70000</v>
      </c>
      <c r="I86" s="6"/>
      <c r="J86" s="41"/>
    </row>
    <row r="87" spans="1:10" x14ac:dyDescent="0.2">
      <c r="A87" s="6"/>
      <c r="B87" s="6" t="s">
        <v>204</v>
      </c>
      <c r="C87" s="6"/>
      <c r="D87" s="6"/>
      <c r="E87" s="6"/>
      <c r="F87" s="6"/>
      <c r="G87" s="6"/>
      <c r="H87" s="10">
        <f>'LBP NO. 2'!M322</f>
        <v>20000</v>
      </c>
      <c r="I87" s="6"/>
      <c r="J87" s="41"/>
    </row>
    <row r="88" spans="1:10" x14ac:dyDescent="0.2">
      <c r="A88" s="6"/>
      <c r="B88" s="6" t="s">
        <v>205</v>
      </c>
      <c r="C88" s="6"/>
      <c r="D88" s="6"/>
      <c r="E88" s="6"/>
      <c r="F88" s="6"/>
      <c r="G88" s="6"/>
      <c r="H88" s="10">
        <f>'LBP NO. 2'!M391</f>
        <v>105500</v>
      </c>
      <c r="I88" s="6"/>
      <c r="J88" s="41"/>
    </row>
    <row r="89" spans="1:10" x14ac:dyDescent="0.2">
      <c r="A89" s="6"/>
      <c r="B89" s="6" t="s">
        <v>206</v>
      </c>
      <c r="C89" s="6"/>
      <c r="D89" s="6"/>
      <c r="E89" s="6"/>
      <c r="F89" s="6"/>
      <c r="G89" s="6"/>
      <c r="H89" s="10">
        <f>'LBP NO. 2'!M463</f>
        <v>160000</v>
      </c>
      <c r="I89" s="6"/>
      <c r="J89" s="41"/>
    </row>
    <row r="90" spans="1:10" x14ac:dyDescent="0.2">
      <c r="A90" s="6"/>
      <c r="B90" s="6" t="s">
        <v>207</v>
      </c>
      <c r="C90" s="6"/>
      <c r="D90" s="6"/>
      <c r="E90" s="6"/>
      <c r="F90" s="6"/>
      <c r="G90" s="6"/>
      <c r="H90" s="10">
        <f>'LBP NO. 2'!M528</f>
        <v>135000</v>
      </c>
      <c r="I90" s="6"/>
      <c r="J90" s="41"/>
    </row>
    <row r="91" spans="1:10" x14ac:dyDescent="0.2">
      <c r="A91" s="6"/>
      <c r="B91" s="6" t="s">
        <v>266</v>
      </c>
      <c r="C91" s="6"/>
      <c r="D91" s="6"/>
      <c r="E91" s="6"/>
      <c r="F91" s="6"/>
      <c r="G91" s="6"/>
      <c r="H91" s="10">
        <f>'LBP NO. 2'!M597</f>
        <v>220000</v>
      </c>
      <c r="I91" s="6"/>
      <c r="J91" s="41"/>
    </row>
    <row r="92" spans="1:10" x14ac:dyDescent="0.2">
      <c r="A92" s="6"/>
      <c r="B92" s="6" t="s">
        <v>215</v>
      </c>
      <c r="C92" s="6"/>
      <c r="D92" s="6"/>
      <c r="E92" s="6"/>
      <c r="F92" s="6"/>
      <c r="G92" s="6"/>
      <c r="H92" s="10">
        <f>'LBP NO. 2'!M668</f>
        <v>190000</v>
      </c>
      <c r="I92" s="6"/>
      <c r="J92" s="41"/>
    </row>
    <row r="93" spans="1:10" x14ac:dyDescent="0.2">
      <c r="A93" s="6"/>
      <c r="B93" s="6" t="s">
        <v>210</v>
      </c>
      <c r="G93" s="6"/>
      <c r="H93" s="10">
        <f>'LBP NO. 2'!M735</f>
        <v>120000</v>
      </c>
      <c r="I93" s="6"/>
      <c r="J93" s="41"/>
    </row>
    <row r="94" spans="1:10" x14ac:dyDescent="0.2">
      <c r="A94" s="6"/>
      <c r="B94" s="6" t="s">
        <v>211</v>
      </c>
      <c r="C94" s="6"/>
      <c r="D94" s="6"/>
      <c r="E94" s="6"/>
      <c r="F94" s="18"/>
      <c r="G94" s="18"/>
      <c r="H94" s="10">
        <f>'LBP NO. 2'!M805</f>
        <v>70000</v>
      </c>
      <c r="I94" s="6"/>
      <c r="J94" s="41"/>
    </row>
    <row r="95" spans="1:10" x14ac:dyDescent="0.2">
      <c r="A95" s="6"/>
      <c r="B95" s="6" t="s">
        <v>212</v>
      </c>
      <c r="C95" s="6"/>
      <c r="D95" s="6"/>
      <c r="E95" s="6"/>
      <c r="F95" s="18"/>
      <c r="G95" s="18"/>
      <c r="H95" s="16">
        <f>'LBP NO. 2'!M865</f>
        <v>25000</v>
      </c>
      <c r="I95" s="6"/>
      <c r="J95" s="50"/>
    </row>
    <row r="96" spans="1:10" x14ac:dyDescent="0.2">
      <c r="A96" s="6"/>
      <c r="B96" s="6" t="s">
        <v>265</v>
      </c>
      <c r="C96" s="6"/>
      <c r="D96" s="6"/>
      <c r="E96" s="6"/>
      <c r="F96" s="18"/>
      <c r="G96" s="18"/>
      <c r="H96" s="16">
        <f>'LBP NO. 2'!M931</f>
        <v>270000</v>
      </c>
      <c r="I96" s="6"/>
      <c r="J96" s="50"/>
    </row>
    <row r="97" spans="1:10" x14ac:dyDescent="0.2">
      <c r="A97" s="6"/>
      <c r="B97" s="6"/>
      <c r="C97" s="6"/>
      <c r="D97" s="19" t="s">
        <v>245</v>
      </c>
      <c r="G97" s="18"/>
      <c r="H97" s="20">
        <f>SUM(H83:H96)</f>
        <v>7155500</v>
      </c>
      <c r="I97" s="6"/>
      <c r="J97" s="50">
        <f>H97-'LBP NO. 7'!L59</f>
        <v>0</v>
      </c>
    </row>
    <row r="98" spans="1:10" x14ac:dyDescent="0.2">
      <c r="A98" s="6"/>
      <c r="B98" s="6"/>
      <c r="C98" s="6"/>
      <c r="D98" s="19"/>
      <c r="G98" s="18"/>
      <c r="H98" s="17"/>
      <c r="I98" s="6"/>
      <c r="J98" s="50"/>
    </row>
    <row r="99" spans="1:10" x14ac:dyDescent="0.2">
      <c r="A99" s="6"/>
      <c r="B99" s="6"/>
      <c r="C99" s="6"/>
      <c r="D99" s="19"/>
      <c r="G99" s="18"/>
      <c r="H99" s="17"/>
      <c r="I99" s="6"/>
      <c r="J99" s="50"/>
    </row>
    <row r="100" spans="1:10" x14ac:dyDescent="0.2">
      <c r="A100" s="6"/>
      <c r="B100" s="6"/>
      <c r="C100" s="6"/>
      <c r="D100" s="19"/>
      <c r="G100" s="18"/>
      <c r="H100" s="17"/>
      <c r="I100" s="6"/>
      <c r="J100" s="50"/>
    </row>
    <row r="101" spans="1:10" x14ac:dyDescent="0.2">
      <c r="A101" s="6"/>
      <c r="B101" s="6"/>
      <c r="C101" s="6"/>
      <c r="D101" s="19"/>
      <c r="G101" s="18"/>
      <c r="H101" s="17"/>
      <c r="I101" s="6"/>
      <c r="J101" s="50"/>
    </row>
    <row r="102" spans="1:10" x14ac:dyDescent="0.2">
      <c r="A102" s="6"/>
      <c r="B102" s="6"/>
      <c r="C102" s="6"/>
      <c r="D102" s="19"/>
      <c r="G102" s="18"/>
      <c r="H102" s="17"/>
      <c r="I102" s="6"/>
      <c r="J102" s="50"/>
    </row>
    <row r="103" spans="1:10" x14ac:dyDescent="0.2">
      <c r="A103" s="6"/>
      <c r="B103" s="6"/>
      <c r="C103" s="6"/>
      <c r="D103" s="19"/>
      <c r="G103" s="18"/>
      <c r="H103" s="17"/>
      <c r="I103" s="6"/>
      <c r="J103" s="50"/>
    </row>
    <row r="104" spans="1:10" x14ac:dyDescent="0.2">
      <c r="A104" s="6"/>
      <c r="B104" s="6"/>
      <c r="C104" s="6"/>
      <c r="D104" s="19"/>
      <c r="G104" s="18"/>
      <c r="H104" s="17"/>
      <c r="I104" s="6"/>
      <c r="J104" s="50"/>
    </row>
    <row r="105" spans="1:10" x14ac:dyDescent="0.2">
      <c r="A105" s="6"/>
      <c r="B105" s="6"/>
      <c r="C105" s="6"/>
      <c r="D105" s="19"/>
      <c r="G105" s="18"/>
      <c r="H105" s="17"/>
      <c r="I105" s="6"/>
      <c r="J105" s="50"/>
    </row>
    <row r="106" spans="1:10" x14ac:dyDescent="0.2">
      <c r="A106" s="6"/>
      <c r="B106" s="6"/>
      <c r="C106" s="6"/>
      <c r="D106" s="19"/>
      <c r="G106" s="18"/>
      <c r="H106" s="17"/>
      <c r="I106" s="6"/>
      <c r="J106" s="50"/>
    </row>
    <row r="107" spans="1:10" x14ac:dyDescent="0.2">
      <c r="A107" s="6"/>
      <c r="B107" s="6"/>
      <c r="C107" s="6"/>
      <c r="D107" s="19"/>
      <c r="G107" s="18"/>
      <c r="H107" s="17"/>
      <c r="I107" s="6"/>
      <c r="J107" s="50"/>
    </row>
    <row r="108" spans="1:10" x14ac:dyDescent="0.2">
      <c r="A108" s="6"/>
      <c r="B108" s="6"/>
      <c r="C108" s="6"/>
      <c r="D108" s="19"/>
      <c r="G108" s="18"/>
      <c r="H108" s="17"/>
      <c r="I108" s="6"/>
      <c r="J108" s="50"/>
    </row>
    <row r="109" spans="1:10" x14ac:dyDescent="0.2">
      <c r="A109" s="6"/>
      <c r="B109" s="6"/>
      <c r="C109" s="6"/>
      <c r="D109" s="19"/>
      <c r="G109" s="18"/>
      <c r="H109" s="17"/>
      <c r="I109" s="6"/>
      <c r="J109" s="50"/>
    </row>
    <row r="110" spans="1:10" x14ac:dyDescent="0.2">
      <c r="A110" s="6"/>
      <c r="B110" s="6"/>
      <c r="C110" s="6"/>
      <c r="D110" s="19"/>
      <c r="G110" s="18"/>
      <c r="H110" s="17"/>
      <c r="I110" s="6"/>
      <c r="J110" s="50"/>
    </row>
    <row r="111" spans="1:10" x14ac:dyDescent="0.2">
      <c r="A111" s="6"/>
      <c r="B111" s="6"/>
      <c r="C111" s="6"/>
      <c r="D111" s="19"/>
      <c r="G111" s="18"/>
      <c r="H111" s="17"/>
      <c r="I111" s="6"/>
      <c r="J111" s="50"/>
    </row>
    <row r="112" spans="1:10" x14ac:dyDescent="0.2">
      <c r="A112" s="6"/>
      <c r="B112" s="6"/>
      <c r="C112" s="6"/>
      <c r="D112" s="19"/>
      <c r="G112" s="18"/>
      <c r="H112" s="17"/>
      <c r="I112" s="6"/>
      <c r="J112" s="50"/>
    </row>
    <row r="113" spans="1:10" x14ac:dyDescent="0.2">
      <c r="A113" s="6"/>
      <c r="B113" s="6"/>
      <c r="C113" s="6"/>
      <c r="D113" s="19"/>
      <c r="G113" s="18"/>
      <c r="H113" s="17"/>
      <c r="I113" s="6"/>
      <c r="J113" s="50"/>
    </row>
    <row r="114" spans="1:10" x14ac:dyDescent="0.2">
      <c r="A114" s="6"/>
      <c r="B114" s="6"/>
      <c r="C114" s="6"/>
      <c r="D114" s="19"/>
      <c r="G114" s="18"/>
      <c r="H114" s="17"/>
      <c r="I114" s="6"/>
      <c r="J114" s="50"/>
    </row>
    <row r="115" spans="1:10" x14ac:dyDescent="0.2">
      <c r="A115" s="6"/>
      <c r="B115" s="6"/>
      <c r="C115" s="6"/>
      <c r="D115" s="19"/>
      <c r="G115" s="18"/>
      <c r="H115" s="17"/>
      <c r="I115" s="6"/>
      <c r="J115" s="50"/>
    </row>
    <row r="116" spans="1:10" x14ac:dyDescent="0.2">
      <c r="A116" s="6"/>
      <c r="B116" s="6"/>
      <c r="C116" s="6"/>
      <c r="D116" s="19"/>
      <c r="G116" s="18"/>
      <c r="H116" s="17"/>
      <c r="I116" s="6"/>
      <c r="J116" s="50"/>
    </row>
    <row r="117" spans="1:10" x14ac:dyDescent="0.2">
      <c r="A117" s="6"/>
      <c r="B117" s="6"/>
      <c r="C117" s="6"/>
      <c r="D117" s="19"/>
      <c r="G117" s="18"/>
      <c r="H117" s="17"/>
      <c r="I117" s="6"/>
      <c r="J117" s="50"/>
    </row>
    <row r="118" spans="1:10" x14ac:dyDescent="0.2">
      <c r="A118" s="6"/>
      <c r="B118" s="6"/>
      <c r="C118" s="6"/>
      <c r="D118" s="19"/>
      <c r="G118" s="18"/>
      <c r="H118" s="17"/>
      <c r="I118" s="6"/>
      <c r="J118" s="50"/>
    </row>
    <row r="119" spans="1:10" x14ac:dyDescent="0.2">
      <c r="A119" s="6"/>
      <c r="B119" s="6"/>
      <c r="C119" s="6"/>
      <c r="D119" s="19"/>
      <c r="G119" s="18"/>
      <c r="H119" s="17"/>
      <c r="I119" s="6"/>
      <c r="J119" s="50"/>
    </row>
    <row r="120" spans="1:10" x14ac:dyDescent="0.2">
      <c r="A120" s="6"/>
      <c r="B120" s="6"/>
      <c r="C120" s="6"/>
      <c r="D120" s="19"/>
      <c r="G120" s="18"/>
      <c r="H120" s="17"/>
      <c r="I120" s="6"/>
      <c r="J120" s="50"/>
    </row>
    <row r="121" spans="1:10" x14ac:dyDescent="0.2">
      <c r="A121" s="6"/>
      <c r="B121" s="6"/>
      <c r="C121" s="6"/>
      <c r="D121" s="19"/>
      <c r="G121" s="18"/>
      <c r="H121" s="17"/>
      <c r="I121" s="6"/>
      <c r="J121" s="50"/>
    </row>
    <row r="122" spans="1:10" x14ac:dyDescent="0.2">
      <c r="A122" s="6"/>
      <c r="B122" s="6"/>
      <c r="C122" s="6"/>
      <c r="D122" s="19"/>
      <c r="G122" s="18"/>
      <c r="H122" s="17"/>
      <c r="I122" s="6"/>
      <c r="J122" s="50"/>
    </row>
    <row r="123" spans="1:10" x14ac:dyDescent="0.2">
      <c r="A123" s="6"/>
      <c r="B123" s="6"/>
      <c r="C123" s="6"/>
      <c r="D123" s="19"/>
      <c r="G123" s="18"/>
      <c r="H123" s="17"/>
      <c r="I123" s="6"/>
      <c r="J123" s="50"/>
    </row>
    <row r="124" spans="1:10" x14ac:dyDescent="0.2">
      <c r="A124" s="6"/>
      <c r="B124" s="6"/>
      <c r="C124" s="6"/>
      <c r="D124" s="19"/>
      <c r="G124" s="18"/>
      <c r="H124" s="17"/>
      <c r="I124" s="6"/>
      <c r="J124" s="50"/>
    </row>
    <row r="125" spans="1:10" x14ac:dyDescent="0.2">
      <c r="A125" s="6"/>
      <c r="B125" s="6"/>
      <c r="C125" s="6"/>
      <c r="D125" s="19"/>
      <c r="G125" s="18"/>
      <c r="H125" s="17"/>
      <c r="I125" s="6"/>
      <c r="J125" s="50"/>
    </row>
    <row r="126" spans="1:10" x14ac:dyDescent="0.2">
      <c r="A126" s="6"/>
      <c r="B126" s="6"/>
      <c r="C126" s="6"/>
      <c r="D126" s="19"/>
      <c r="G126" s="18"/>
      <c r="H126" s="17"/>
      <c r="I126" s="6"/>
      <c r="J126" s="50"/>
    </row>
    <row r="127" spans="1:10" x14ac:dyDescent="0.2">
      <c r="A127" s="6"/>
      <c r="B127" s="6"/>
      <c r="C127" s="6"/>
      <c r="D127" s="19"/>
      <c r="G127" s="18"/>
      <c r="H127" s="17"/>
      <c r="I127" s="6"/>
      <c r="J127" s="50"/>
    </row>
    <row r="128" spans="1:10" x14ac:dyDescent="0.2">
      <c r="A128" s="6"/>
      <c r="B128" s="6"/>
      <c r="C128" s="6"/>
      <c r="D128" s="19"/>
      <c r="G128" s="18"/>
      <c r="H128" s="17"/>
      <c r="I128" s="6"/>
      <c r="J128" s="50"/>
    </row>
    <row r="129" spans="1:10" ht="23.25" x14ac:dyDescent="0.35">
      <c r="A129" s="1310" t="s">
        <v>1533</v>
      </c>
      <c r="B129" s="1310"/>
      <c r="C129" s="1310"/>
      <c r="D129" s="1310"/>
      <c r="E129" s="1310"/>
      <c r="F129" s="1310"/>
      <c r="G129" s="1310"/>
      <c r="H129" s="1310"/>
      <c r="I129" s="1310"/>
      <c r="J129" s="50"/>
    </row>
    <row r="130" spans="1:10" s="1" customFormat="1" ht="15.95" customHeight="1" x14ac:dyDescent="0.3">
      <c r="A130" s="272"/>
      <c r="B130" s="272"/>
      <c r="C130" s="272"/>
      <c r="D130" s="272"/>
      <c r="E130" s="272"/>
      <c r="F130" s="272"/>
      <c r="G130" s="272"/>
      <c r="H130" s="272"/>
      <c r="I130" s="272"/>
      <c r="J130" s="272"/>
    </row>
    <row r="133" spans="1:10" ht="16.5" x14ac:dyDescent="0.3">
      <c r="A133" s="1308" t="s">
        <v>181</v>
      </c>
      <c r="B133" s="1308"/>
      <c r="C133" s="1308"/>
      <c r="D133" s="1308"/>
      <c r="E133" s="1308"/>
      <c r="F133" s="1308"/>
      <c r="G133" s="1308"/>
      <c r="H133" s="1308"/>
      <c r="I133" s="1308"/>
    </row>
    <row r="134" spans="1:10" ht="16.5" x14ac:dyDescent="0.3">
      <c r="A134" s="1308" t="s">
        <v>182</v>
      </c>
      <c r="B134" s="1308"/>
      <c r="C134" s="1308"/>
      <c r="D134" s="1308"/>
      <c r="E134" s="1308"/>
      <c r="F134" s="1308"/>
      <c r="G134" s="1308"/>
      <c r="H134" s="1308"/>
      <c r="I134" s="1308"/>
    </row>
    <row r="135" spans="1:10" x14ac:dyDescent="0.2">
      <c r="A135" s="1309" t="s">
        <v>183</v>
      </c>
      <c r="B135" s="1309"/>
      <c r="C135" s="1309"/>
      <c r="D135" s="1309"/>
      <c r="E135" s="1309"/>
      <c r="F135" s="1309"/>
      <c r="G135" s="1309"/>
      <c r="H135" s="1309"/>
      <c r="I135" s="1309"/>
    </row>
    <row r="136" spans="1:10" x14ac:dyDescent="0.2">
      <c r="A136" s="103"/>
      <c r="B136" s="103"/>
      <c r="C136" s="103"/>
      <c r="D136" s="103"/>
      <c r="E136" s="103"/>
      <c r="F136" s="103"/>
      <c r="G136" s="103"/>
      <c r="H136" s="103"/>
      <c r="I136" s="103"/>
    </row>
    <row r="137" spans="1:10" x14ac:dyDescent="0.2">
      <c r="A137" s="103"/>
      <c r="B137" s="103"/>
      <c r="C137" s="103"/>
      <c r="D137" s="103"/>
      <c r="E137" s="103"/>
      <c r="F137" s="103"/>
      <c r="G137" s="103"/>
      <c r="H137" s="103"/>
      <c r="I137" s="103"/>
    </row>
    <row r="138" spans="1:10" x14ac:dyDescent="0.2">
      <c r="A138" s="103"/>
      <c r="B138" s="103"/>
      <c r="C138" s="103"/>
      <c r="D138" s="103"/>
      <c r="E138" s="103"/>
      <c r="F138" s="103"/>
      <c r="G138" s="103"/>
      <c r="H138" s="103"/>
      <c r="I138" s="103"/>
    </row>
    <row r="139" spans="1:10" ht="15.75" x14ac:dyDescent="0.25">
      <c r="A139" s="1306" t="s">
        <v>184</v>
      </c>
      <c r="B139" s="1306"/>
      <c r="C139" s="1306"/>
      <c r="D139" s="1306"/>
      <c r="E139" s="1306"/>
      <c r="F139" s="1306"/>
      <c r="G139" s="1306"/>
      <c r="H139" s="1306"/>
      <c r="I139" s="1306"/>
    </row>
    <row r="140" spans="1:10" x14ac:dyDescent="0.2">
      <c r="A140" s="6"/>
      <c r="B140" s="6"/>
      <c r="C140" s="6"/>
      <c r="D140" s="6"/>
      <c r="E140" s="6"/>
      <c r="F140" s="6"/>
      <c r="G140" s="6"/>
      <c r="H140" s="6"/>
      <c r="I140" s="6"/>
    </row>
    <row r="141" spans="1:10" x14ac:dyDescent="0.2">
      <c r="A141" s="6"/>
      <c r="B141" s="6"/>
      <c r="C141" s="6"/>
      <c r="D141" s="6"/>
      <c r="E141" s="6"/>
      <c r="F141" s="6"/>
      <c r="G141" s="6"/>
      <c r="H141" s="6"/>
      <c r="I141" s="6"/>
    </row>
    <row r="142" spans="1:10" ht="15.75" x14ac:dyDescent="0.25">
      <c r="A142" s="1307" t="s">
        <v>1659</v>
      </c>
      <c r="B142" s="1307"/>
      <c r="C142" s="1307"/>
      <c r="D142" s="1307"/>
      <c r="E142" s="1307"/>
      <c r="F142" s="1307"/>
      <c r="G142" s="1307"/>
      <c r="H142" s="1307"/>
      <c r="I142" s="1307"/>
    </row>
    <row r="143" spans="1:10" ht="15" x14ac:dyDescent="0.25">
      <c r="A143" s="106"/>
      <c r="B143" s="106"/>
      <c r="C143" s="106"/>
      <c r="D143" s="106"/>
      <c r="E143" s="106"/>
      <c r="F143" s="106"/>
      <c r="G143" s="106"/>
      <c r="H143" s="106"/>
      <c r="I143" s="106"/>
    </row>
    <row r="144" spans="1:10" x14ac:dyDescent="0.2">
      <c r="A144" s="6"/>
      <c r="B144" s="6"/>
      <c r="C144" s="6"/>
      <c r="D144" s="6"/>
      <c r="E144" s="6"/>
      <c r="F144" s="6"/>
      <c r="G144" s="6"/>
      <c r="H144" s="6"/>
      <c r="I144" s="6"/>
    </row>
    <row r="145" spans="1:11" x14ac:dyDescent="0.2">
      <c r="A145" s="6"/>
      <c r="B145" s="7" t="s">
        <v>216</v>
      </c>
      <c r="C145" s="6"/>
      <c r="D145" s="6"/>
      <c r="E145" s="6"/>
      <c r="F145" s="6"/>
      <c r="G145" s="6"/>
      <c r="H145" s="6"/>
      <c r="I145" s="6"/>
    </row>
    <row r="146" spans="1:11" x14ac:dyDescent="0.2">
      <c r="A146" s="6"/>
      <c r="B146" s="6" t="s">
        <v>217</v>
      </c>
      <c r="C146" s="6"/>
      <c r="D146" s="6"/>
      <c r="E146" s="6"/>
      <c r="F146" s="6"/>
      <c r="G146" s="6"/>
      <c r="H146" s="10">
        <f>'LBP NO. 2a'!K41</f>
        <v>6567450</v>
      </c>
      <c r="I146" s="6"/>
      <c r="J146" s="10"/>
      <c r="K146" s="10"/>
    </row>
    <row r="147" spans="1:11" x14ac:dyDescent="0.2">
      <c r="A147" s="22"/>
      <c r="B147" s="6" t="s">
        <v>857</v>
      </c>
      <c r="C147" s="22"/>
      <c r="D147" s="22"/>
      <c r="E147" s="22"/>
      <c r="F147" s="22"/>
      <c r="G147" s="22"/>
      <c r="H147" s="10">
        <f>SUM('LBP NO. 2a'!K165-'LBP NO. 2a'!K109)</f>
        <v>68771000</v>
      </c>
      <c r="I147" s="6"/>
      <c r="J147" s="10"/>
      <c r="K147" s="10"/>
    </row>
    <row r="148" spans="1:11" x14ac:dyDescent="0.2">
      <c r="A148" s="22"/>
      <c r="B148" s="6" t="s">
        <v>270</v>
      </c>
      <c r="C148" s="22"/>
      <c r="D148" s="22"/>
      <c r="E148" s="22"/>
      <c r="F148" s="22"/>
      <c r="G148" s="22"/>
      <c r="H148" s="10">
        <f>'LBP NO. 2a'!K109</f>
        <v>8705600</v>
      </c>
      <c r="I148" s="6"/>
      <c r="J148" s="16"/>
      <c r="K148" s="10"/>
    </row>
    <row r="149" spans="1:11" ht="13.5" thickBot="1" x14ac:dyDescent="0.25">
      <c r="A149" s="6"/>
      <c r="B149" s="6"/>
      <c r="C149" s="6"/>
      <c r="D149" s="7" t="s">
        <v>238</v>
      </c>
      <c r="E149" s="6"/>
      <c r="F149" s="7"/>
      <c r="G149" s="6"/>
      <c r="H149" s="23">
        <f>SUM(H146:H148)</f>
        <v>84044050</v>
      </c>
      <c r="I149" s="6"/>
      <c r="J149" s="16"/>
      <c r="K149" s="10"/>
    </row>
    <row r="150" spans="1:11" x14ac:dyDescent="0.2">
      <c r="A150" s="6"/>
      <c r="B150" s="6"/>
      <c r="C150" s="6"/>
      <c r="D150" s="6"/>
      <c r="E150" s="6"/>
      <c r="F150" s="6"/>
      <c r="G150" s="6"/>
      <c r="H150" s="6"/>
      <c r="I150" s="6"/>
      <c r="J150" s="10"/>
      <c r="K150" s="10"/>
    </row>
    <row r="151" spans="1:11" x14ac:dyDescent="0.2">
      <c r="A151" s="6"/>
      <c r="B151" s="6"/>
      <c r="C151" s="7" t="s">
        <v>239</v>
      </c>
      <c r="D151" s="6"/>
      <c r="E151" s="6"/>
      <c r="F151" s="6"/>
      <c r="G151" s="6"/>
      <c r="H151" s="24">
        <f>SUM(H46+H79+H97+H149)</f>
        <v>173816441</v>
      </c>
      <c r="I151" s="6"/>
      <c r="J151" s="10"/>
      <c r="K151" s="10"/>
    </row>
    <row r="152" spans="1:11" ht="13.5" thickBot="1" x14ac:dyDescent="0.25">
      <c r="A152" s="6"/>
      <c r="B152" s="6"/>
      <c r="C152" s="6" t="s">
        <v>20</v>
      </c>
      <c r="D152" s="6"/>
      <c r="E152" s="6"/>
      <c r="F152" s="6"/>
      <c r="G152" s="6"/>
      <c r="H152" s="25">
        <f>+H21-H151</f>
        <v>295559</v>
      </c>
      <c r="I152" s="6"/>
      <c r="J152" s="10"/>
      <c r="K152" s="10"/>
    </row>
    <row r="153" spans="1:11" ht="13.5" thickTop="1" x14ac:dyDescent="0.2">
      <c r="A153" s="6"/>
      <c r="B153" s="6"/>
      <c r="C153" s="6"/>
      <c r="D153" s="6"/>
      <c r="E153" s="6"/>
      <c r="F153" s="6"/>
      <c r="G153" s="6"/>
      <c r="H153" s="899"/>
      <c r="I153" s="6"/>
      <c r="J153" s="10"/>
      <c r="K153" s="10"/>
    </row>
    <row r="154" spans="1:11" x14ac:dyDescent="0.2">
      <c r="A154" s="6"/>
      <c r="B154" s="6"/>
      <c r="C154" s="6"/>
      <c r="D154" s="6"/>
      <c r="E154" s="6"/>
      <c r="F154" s="6"/>
      <c r="G154" s="6"/>
      <c r="H154" s="6"/>
      <c r="I154" s="6"/>
      <c r="J154" s="10"/>
      <c r="K154" s="10"/>
    </row>
    <row r="155" spans="1:11" x14ac:dyDescent="0.2">
      <c r="A155" s="6"/>
      <c r="B155" s="7" t="s">
        <v>218</v>
      </c>
      <c r="C155" s="6"/>
      <c r="D155" s="6"/>
      <c r="E155" s="6"/>
      <c r="F155" s="6"/>
      <c r="G155" s="6"/>
      <c r="H155" s="6"/>
      <c r="I155" s="6"/>
      <c r="J155" s="10"/>
      <c r="K155" s="10"/>
    </row>
    <row r="156" spans="1:11" x14ac:dyDescent="0.2">
      <c r="A156" s="6"/>
      <c r="B156" s="6" t="s">
        <v>219</v>
      </c>
      <c r="C156" s="6"/>
      <c r="D156" s="6"/>
      <c r="E156" s="6"/>
      <c r="F156" s="6"/>
      <c r="G156" s="6"/>
      <c r="H156" s="10">
        <f>'LBP NO. 2'!M992</f>
        <v>8148939</v>
      </c>
      <c r="I156" s="6"/>
      <c r="J156" s="10"/>
      <c r="K156" s="10"/>
    </row>
    <row r="157" spans="1:11" x14ac:dyDescent="0.2">
      <c r="A157" s="6"/>
      <c r="B157" s="6" t="s">
        <v>220</v>
      </c>
      <c r="C157" s="6"/>
      <c r="D157" s="6"/>
      <c r="E157" s="6"/>
      <c r="F157" s="6"/>
      <c r="G157" s="6"/>
      <c r="H157" s="10">
        <f>'LBP NO. 2'!M1004</f>
        <v>3800118</v>
      </c>
      <c r="I157" s="6"/>
      <c r="J157" s="10"/>
      <c r="K157" s="10"/>
    </row>
    <row r="158" spans="1:11" x14ac:dyDescent="0.2">
      <c r="A158" s="6"/>
      <c r="B158" s="6" t="s">
        <v>221</v>
      </c>
      <c r="C158" s="6"/>
      <c r="D158" s="6"/>
      <c r="E158" s="6"/>
      <c r="F158" s="6"/>
      <c r="G158" s="6"/>
      <c r="H158" s="10">
        <f>'LBP NO. 2'!M1011</f>
        <v>140000</v>
      </c>
      <c r="I158" s="6"/>
      <c r="J158" s="10"/>
      <c r="K158" s="10"/>
    </row>
    <row r="159" spans="1:11" hidden="1" x14ac:dyDescent="0.2">
      <c r="A159" s="6"/>
      <c r="B159" s="6" t="s">
        <v>271</v>
      </c>
      <c r="C159" s="6"/>
      <c r="D159" s="6"/>
      <c r="E159" s="6"/>
      <c r="F159" s="6"/>
      <c r="H159" s="10">
        <f>'LBP NO. 1'!N344</f>
        <v>0</v>
      </c>
      <c r="I159" s="6"/>
      <c r="J159" s="10"/>
      <c r="K159" s="10"/>
    </row>
    <row r="160" spans="1:11" x14ac:dyDescent="0.2">
      <c r="A160" s="6"/>
      <c r="B160" s="6"/>
      <c r="C160" s="6"/>
      <c r="D160" s="6"/>
      <c r="E160" s="6"/>
      <c r="F160" s="6"/>
      <c r="G160" s="6"/>
      <c r="H160" s="10"/>
      <c r="I160" s="6"/>
      <c r="J160" s="10"/>
      <c r="K160" s="10"/>
    </row>
    <row r="161" spans="1:11" x14ac:dyDescent="0.2">
      <c r="A161" s="6"/>
      <c r="B161" s="6"/>
      <c r="C161" s="7" t="s">
        <v>240</v>
      </c>
      <c r="D161" s="6"/>
      <c r="E161" s="6"/>
      <c r="F161" s="6"/>
      <c r="G161" s="6"/>
      <c r="H161" s="24">
        <f>SUM(H156:H160)</f>
        <v>12089057</v>
      </c>
      <c r="I161" s="6"/>
      <c r="J161" s="10"/>
      <c r="K161" s="10"/>
    </row>
    <row r="162" spans="1:11" ht="13.5" thickBot="1" x14ac:dyDescent="0.25">
      <c r="A162" s="6"/>
      <c r="B162" s="6"/>
      <c r="C162" s="6" t="s">
        <v>246</v>
      </c>
      <c r="D162" s="6"/>
      <c r="E162" s="6"/>
      <c r="F162" s="6"/>
      <c r="G162" s="6"/>
      <c r="H162" s="25">
        <f>+H25-H161</f>
        <v>3943</v>
      </c>
      <c r="I162" s="6"/>
      <c r="J162" s="10"/>
      <c r="K162" s="10"/>
    </row>
    <row r="163" spans="1:11" ht="13.5" thickTop="1" x14ac:dyDescent="0.2">
      <c r="A163" s="6"/>
      <c r="B163" s="6"/>
      <c r="C163" s="6"/>
      <c r="D163" s="6"/>
      <c r="E163" s="6"/>
      <c r="F163" s="6"/>
      <c r="G163" s="6"/>
      <c r="H163" s="6"/>
      <c r="I163" s="6"/>
      <c r="J163" s="10"/>
      <c r="K163" s="10"/>
    </row>
    <row r="164" spans="1:11" x14ac:dyDescent="0.2">
      <c r="A164" s="6"/>
      <c r="B164" s="6"/>
      <c r="C164" s="6"/>
      <c r="D164" s="6"/>
      <c r="E164" s="6"/>
      <c r="F164" s="6"/>
      <c r="G164" s="6"/>
      <c r="H164" s="6"/>
      <c r="I164" s="6"/>
      <c r="J164" s="10"/>
      <c r="K164" s="10"/>
    </row>
    <row r="165" spans="1:11" x14ac:dyDescent="0.2">
      <c r="A165" s="7" t="s">
        <v>241</v>
      </c>
      <c r="B165" s="7"/>
      <c r="C165" s="7" t="s">
        <v>242</v>
      </c>
      <c r="D165" s="6"/>
      <c r="E165" s="6"/>
      <c r="F165" s="6"/>
      <c r="G165" s="6"/>
      <c r="H165" s="6"/>
      <c r="I165" s="6"/>
      <c r="J165" s="10"/>
      <c r="K165" s="10"/>
    </row>
    <row r="166" spans="1:11" x14ac:dyDescent="0.2">
      <c r="A166" s="7"/>
      <c r="B166" s="7"/>
      <c r="C166" s="7"/>
      <c r="D166" s="6"/>
      <c r="E166" s="6"/>
      <c r="F166" s="6"/>
      <c r="G166" s="6"/>
      <c r="H166" s="6"/>
      <c r="I166" s="6"/>
      <c r="J166" s="10"/>
      <c r="K166" s="10"/>
    </row>
    <row r="167" spans="1:11" x14ac:dyDescent="0.2">
      <c r="A167" s="6"/>
      <c r="B167" s="7" t="s">
        <v>233</v>
      </c>
      <c r="C167" s="6"/>
      <c r="D167" s="6"/>
      <c r="E167" s="6"/>
      <c r="F167" s="6"/>
      <c r="G167" s="6"/>
      <c r="H167" s="6"/>
      <c r="I167" s="6"/>
      <c r="J167" s="10"/>
      <c r="K167" s="10"/>
    </row>
    <row r="168" spans="1:11" x14ac:dyDescent="0.2">
      <c r="A168" s="6"/>
      <c r="B168" s="6" t="s">
        <v>222</v>
      </c>
      <c r="C168" s="6"/>
      <c r="D168" s="6"/>
      <c r="E168" s="6"/>
      <c r="F168" s="6"/>
      <c r="G168" s="6"/>
      <c r="H168" s="10">
        <f>'LBP NO. 1'!N66</f>
        <v>174112000</v>
      </c>
      <c r="I168" s="6"/>
      <c r="J168" s="10"/>
      <c r="K168" s="10"/>
    </row>
    <row r="169" spans="1:11" x14ac:dyDescent="0.2">
      <c r="A169" s="6"/>
      <c r="B169" s="6" t="s">
        <v>223</v>
      </c>
      <c r="C169" s="6"/>
      <c r="D169" s="6"/>
      <c r="E169" s="6"/>
      <c r="F169" s="6"/>
      <c r="G169" s="6"/>
      <c r="H169" s="11">
        <f>'LBP NO. 1'!N250</f>
        <v>12093000</v>
      </c>
      <c r="I169" s="6"/>
      <c r="J169" s="10"/>
      <c r="K169" s="10"/>
    </row>
    <row r="170" spans="1:11" ht="13.5" thickBot="1" x14ac:dyDescent="0.25">
      <c r="A170" s="6"/>
      <c r="B170" s="6"/>
      <c r="C170" s="7" t="s">
        <v>235</v>
      </c>
      <c r="D170" s="2"/>
      <c r="F170" s="6"/>
      <c r="G170" s="6"/>
      <c r="H170" s="32">
        <f>SUM(H168:H169)</f>
        <v>186205000</v>
      </c>
      <c r="I170" s="6"/>
      <c r="J170" s="10"/>
      <c r="K170" s="10"/>
    </row>
    <row r="171" spans="1:11" ht="13.5" thickTop="1" x14ac:dyDescent="0.2">
      <c r="A171" s="6"/>
      <c r="B171" s="6"/>
      <c r="C171" s="6"/>
      <c r="D171" s="2"/>
      <c r="F171" s="6"/>
      <c r="G171" s="6"/>
      <c r="H171" s="17"/>
      <c r="I171" s="6"/>
      <c r="J171" s="10"/>
      <c r="K171" s="10"/>
    </row>
    <row r="172" spans="1:11" x14ac:dyDescent="0.2">
      <c r="A172" s="6"/>
      <c r="B172" s="7" t="s">
        <v>234</v>
      </c>
      <c r="C172" s="7"/>
      <c r="D172" s="6"/>
      <c r="E172" s="2"/>
      <c r="F172" s="6"/>
      <c r="G172" s="6"/>
      <c r="H172" s="17"/>
      <c r="I172" s="6"/>
      <c r="J172" s="10"/>
      <c r="K172" s="10"/>
    </row>
    <row r="173" spans="1:11" x14ac:dyDescent="0.2">
      <c r="A173" s="6"/>
      <c r="B173" s="6" t="s">
        <v>222</v>
      </c>
      <c r="C173" s="6"/>
      <c r="D173" s="6"/>
      <c r="E173" s="2"/>
      <c r="F173" s="6"/>
      <c r="G173" s="6"/>
      <c r="H173" s="16">
        <f>'LBP NO. 1'!N140</f>
        <v>173816441</v>
      </c>
      <c r="I173" s="6"/>
      <c r="J173" s="10"/>
      <c r="K173" s="10"/>
    </row>
    <row r="174" spans="1:11" x14ac:dyDescent="0.2">
      <c r="A174" s="6"/>
      <c r="B174" s="6" t="s">
        <v>223</v>
      </c>
      <c r="C174" s="6"/>
      <c r="D174" s="6"/>
      <c r="E174" s="2"/>
      <c r="F174" s="6"/>
      <c r="G174" s="6"/>
      <c r="H174" s="11">
        <f>'LBP NO. 1'!N345</f>
        <v>12089057</v>
      </c>
      <c r="I174" s="6"/>
      <c r="J174" s="10"/>
      <c r="K174" s="10"/>
    </row>
    <row r="175" spans="1:11" ht="13.5" thickBot="1" x14ac:dyDescent="0.25">
      <c r="A175" s="6"/>
      <c r="B175" s="6"/>
      <c r="C175" s="7" t="s">
        <v>236</v>
      </c>
      <c r="D175" s="6"/>
      <c r="E175" s="2"/>
      <c r="F175" s="6"/>
      <c r="G175" s="6"/>
      <c r="H175" s="12">
        <f>H173+H174</f>
        <v>185905498</v>
      </c>
      <c r="I175" s="6"/>
      <c r="J175" s="10"/>
      <c r="K175" s="10"/>
    </row>
    <row r="176" spans="1:11" x14ac:dyDescent="0.2">
      <c r="A176" s="6"/>
      <c r="B176" s="6"/>
      <c r="C176" s="6"/>
      <c r="D176" s="6"/>
      <c r="E176" s="2"/>
      <c r="F176" s="6"/>
      <c r="G176" s="6"/>
      <c r="H176" s="17"/>
      <c r="I176" s="6"/>
      <c r="J176" s="10"/>
      <c r="K176" s="10"/>
    </row>
    <row r="177" spans="1:11" x14ac:dyDescent="0.2">
      <c r="A177" s="6"/>
      <c r="B177" s="7" t="s">
        <v>224</v>
      </c>
      <c r="C177" s="7"/>
      <c r="D177" s="6"/>
      <c r="E177" s="6"/>
      <c r="F177" s="6"/>
      <c r="G177" s="6"/>
      <c r="H177" s="6"/>
      <c r="I177" s="6"/>
      <c r="J177" s="10"/>
      <c r="K177" s="10"/>
    </row>
    <row r="178" spans="1:11" x14ac:dyDescent="0.2">
      <c r="A178" s="6"/>
      <c r="B178" s="6" t="s">
        <v>222</v>
      </c>
      <c r="C178" s="6"/>
      <c r="D178" s="6"/>
      <c r="E178" s="6"/>
      <c r="F178" s="6"/>
      <c r="G178" s="6"/>
      <c r="H178" s="10">
        <f>H152</f>
        <v>295559</v>
      </c>
      <c r="I178" s="6"/>
      <c r="J178" s="10"/>
      <c r="K178" s="10"/>
    </row>
    <row r="179" spans="1:11" x14ac:dyDescent="0.2">
      <c r="A179" s="6"/>
      <c r="B179" s="6" t="s">
        <v>223</v>
      </c>
      <c r="C179" s="6"/>
      <c r="D179" s="6"/>
      <c r="E179" s="6"/>
      <c r="F179" s="6"/>
      <c r="G179" s="6"/>
      <c r="H179" s="11">
        <f>H162</f>
        <v>3943</v>
      </c>
      <c r="I179" s="6"/>
      <c r="J179" s="10"/>
      <c r="K179" s="10"/>
    </row>
    <row r="180" spans="1:11" ht="13.5" thickBot="1" x14ac:dyDescent="0.25">
      <c r="A180" s="6"/>
      <c r="B180" s="6"/>
      <c r="C180" s="6"/>
      <c r="D180" s="6"/>
      <c r="E180" s="2"/>
      <c r="F180" s="6"/>
      <c r="G180" s="6"/>
      <c r="H180" s="23">
        <f>SUM(H178:H179)</f>
        <v>299502</v>
      </c>
      <c r="I180" s="6"/>
      <c r="J180" s="10"/>
      <c r="K180" s="10"/>
    </row>
    <row r="181" spans="1:11" ht="13.5" thickBot="1" x14ac:dyDescent="0.25">
      <c r="A181" s="6"/>
      <c r="B181" s="6"/>
      <c r="C181" s="7" t="s">
        <v>237</v>
      </c>
      <c r="D181" s="6"/>
      <c r="E181" s="7"/>
      <c r="F181" s="6"/>
      <c r="G181" s="6"/>
      <c r="H181" s="25">
        <f>+H175+H180</f>
        <v>186205000</v>
      </c>
      <c r="I181" s="6"/>
      <c r="J181" s="10"/>
      <c r="K181" s="10"/>
    </row>
    <row r="182" spans="1:11" ht="13.5" thickTop="1" x14ac:dyDescent="0.2">
      <c r="A182" s="6"/>
      <c r="B182" s="6"/>
      <c r="C182" s="6"/>
      <c r="D182" s="6"/>
      <c r="E182" s="6"/>
      <c r="F182" s="6"/>
      <c r="G182" s="6"/>
      <c r="H182" s="6"/>
      <c r="I182" s="6"/>
      <c r="J182" s="10"/>
      <c r="K182" s="10"/>
    </row>
    <row r="183" spans="1:11" x14ac:dyDescent="0.2">
      <c r="A183" s="6"/>
      <c r="B183" s="6"/>
      <c r="C183" s="6"/>
      <c r="D183" s="6"/>
      <c r="E183" s="6"/>
      <c r="F183" s="6"/>
      <c r="G183" s="6"/>
      <c r="H183" s="6"/>
      <c r="I183" s="6"/>
      <c r="J183" s="10"/>
      <c r="K183" s="10"/>
    </row>
    <row r="184" spans="1:11" x14ac:dyDescent="0.2">
      <c r="A184" s="6"/>
      <c r="B184" s="6"/>
      <c r="C184" s="6"/>
      <c r="D184" s="6"/>
      <c r="E184" s="6"/>
      <c r="F184" s="6"/>
      <c r="G184" s="6"/>
      <c r="H184" s="6"/>
      <c r="I184" s="6"/>
      <c r="J184" s="10"/>
      <c r="K184" s="10"/>
    </row>
    <row r="185" spans="1:11" x14ac:dyDescent="0.2">
      <c r="A185" s="6"/>
      <c r="B185" s="6"/>
      <c r="C185" s="6"/>
      <c r="D185" s="6"/>
      <c r="E185" s="6"/>
      <c r="F185" s="6"/>
      <c r="G185" s="6"/>
      <c r="H185" s="6"/>
      <c r="I185" s="6"/>
      <c r="J185" s="10"/>
      <c r="K185" s="10"/>
    </row>
    <row r="186" spans="1:11" x14ac:dyDescent="0.2">
      <c r="A186" s="6"/>
      <c r="B186" s="6"/>
      <c r="C186" s="6"/>
      <c r="D186" s="6"/>
      <c r="E186" s="6"/>
      <c r="F186" s="6"/>
      <c r="G186" s="6"/>
      <c r="H186" s="6"/>
      <c r="I186" s="6"/>
      <c r="J186" s="10"/>
      <c r="K186" s="10"/>
    </row>
    <row r="187" spans="1:11" x14ac:dyDescent="0.2">
      <c r="A187" s="6"/>
      <c r="B187" s="6"/>
      <c r="C187" s="6"/>
      <c r="D187" s="6"/>
      <c r="E187" s="6"/>
      <c r="F187" s="6"/>
      <c r="G187" s="6"/>
      <c r="H187" s="6"/>
      <c r="I187" s="6"/>
      <c r="J187" s="10"/>
      <c r="K187" s="10"/>
    </row>
    <row r="188" spans="1:11" x14ac:dyDescent="0.2">
      <c r="A188" s="6"/>
      <c r="B188" s="6"/>
      <c r="C188" s="6"/>
      <c r="D188" s="6"/>
      <c r="E188" s="6"/>
      <c r="F188" s="6"/>
      <c r="G188" s="6"/>
      <c r="H188" s="6"/>
      <c r="I188" s="6"/>
      <c r="J188" s="10"/>
      <c r="K188" s="10"/>
    </row>
    <row r="189" spans="1:11" x14ac:dyDescent="0.2">
      <c r="A189" s="6"/>
      <c r="B189" s="6"/>
      <c r="C189" s="6"/>
      <c r="D189" s="6"/>
      <c r="E189" s="6"/>
      <c r="F189" s="6"/>
      <c r="G189" s="6"/>
      <c r="H189" s="6"/>
      <c r="I189" s="6"/>
      <c r="J189" s="10"/>
      <c r="K189" s="10"/>
    </row>
    <row r="190" spans="1:11" x14ac:dyDescent="0.2">
      <c r="A190" s="6"/>
      <c r="B190" s="7" t="s">
        <v>274</v>
      </c>
      <c r="C190" s="6"/>
      <c r="D190" s="6"/>
      <c r="E190" s="6"/>
      <c r="F190" s="6"/>
      <c r="G190" s="6"/>
      <c r="H190" s="6"/>
      <c r="I190" s="6"/>
      <c r="J190" s="10"/>
      <c r="K190" s="10"/>
    </row>
    <row r="191" spans="1:11" x14ac:dyDescent="0.2">
      <c r="A191" s="6"/>
      <c r="B191" s="6" t="s">
        <v>275</v>
      </c>
      <c r="C191" s="6"/>
      <c r="D191" s="33" t="s">
        <v>279</v>
      </c>
      <c r="E191" s="33"/>
      <c r="F191" s="33"/>
      <c r="G191" s="33"/>
      <c r="H191" s="10">
        <f>'LBP NO. 1'!N66</f>
        <v>174112000</v>
      </c>
      <c r="I191" s="6"/>
      <c r="J191" s="10"/>
      <c r="K191" s="10"/>
    </row>
    <row r="192" spans="1:11" x14ac:dyDescent="0.2">
      <c r="A192" s="6"/>
      <c r="B192" s="6" t="s">
        <v>276</v>
      </c>
      <c r="C192" s="6"/>
      <c r="D192" s="33" t="s">
        <v>279</v>
      </c>
      <c r="E192" s="33"/>
      <c r="F192" s="33"/>
      <c r="G192" s="33"/>
      <c r="H192" s="10">
        <f>SUM('LBP NO. 1'!N140-'LBP NO. 1'!N137)</f>
        <v>165110841</v>
      </c>
      <c r="I192" s="6"/>
      <c r="J192" s="10"/>
      <c r="K192" s="10"/>
    </row>
    <row r="193" spans="1:11" x14ac:dyDescent="0.2">
      <c r="A193" s="6"/>
      <c r="B193" s="6"/>
      <c r="C193" s="6" t="s">
        <v>277</v>
      </c>
      <c r="D193" s="33" t="s">
        <v>279</v>
      </c>
      <c r="E193" s="33"/>
      <c r="F193" s="33"/>
      <c r="G193" s="33"/>
      <c r="H193" s="11">
        <f>H148</f>
        <v>8705600</v>
      </c>
      <c r="I193" s="6"/>
      <c r="J193" s="10"/>
      <c r="K193" s="10"/>
    </row>
    <row r="194" spans="1:11" ht="13.5" thickBot="1" x14ac:dyDescent="0.25">
      <c r="A194" s="6"/>
      <c r="B194" s="7" t="s">
        <v>20</v>
      </c>
      <c r="C194" s="7"/>
      <c r="D194" s="33" t="s">
        <v>279</v>
      </c>
      <c r="E194" s="33"/>
      <c r="F194" s="33"/>
      <c r="G194" s="33"/>
      <c r="H194" s="32">
        <f>H191-H192-H193</f>
        <v>295559</v>
      </c>
      <c r="I194" s="6"/>
      <c r="J194" s="10"/>
      <c r="K194" s="10"/>
    </row>
    <row r="195" spans="1:11" ht="13.5" thickTop="1" x14ac:dyDescent="0.2">
      <c r="A195" s="6"/>
      <c r="B195" s="6"/>
      <c r="C195" s="6"/>
      <c r="D195" s="6"/>
      <c r="E195" s="6"/>
      <c r="F195" s="6"/>
      <c r="G195" s="6"/>
      <c r="H195" s="10"/>
      <c r="I195" s="6"/>
      <c r="J195" s="10"/>
      <c r="K195" s="10"/>
    </row>
    <row r="196" spans="1:11" x14ac:dyDescent="0.2">
      <c r="A196" s="6"/>
      <c r="B196" s="6"/>
      <c r="C196" s="6"/>
      <c r="D196" s="6"/>
      <c r="E196" s="6"/>
      <c r="F196" s="6"/>
      <c r="G196" s="6"/>
      <c r="H196" s="10"/>
      <c r="I196" s="6"/>
      <c r="J196" s="10"/>
      <c r="K196" s="10"/>
    </row>
    <row r="197" spans="1:11" x14ac:dyDescent="0.2">
      <c r="A197" s="6"/>
      <c r="B197" s="7" t="s">
        <v>278</v>
      </c>
      <c r="C197" s="6"/>
      <c r="D197" s="6"/>
      <c r="E197" s="6"/>
      <c r="F197" s="6"/>
      <c r="G197" s="6"/>
      <c r="H197" s="10"/>
      <c r="I197" s="6"/>
      <c r="J197" s="10"/>
      <c r="K197" s="10"/>
    </row>
    <row r="198" spans="1:11" x14ac:dyDescent="0.2">
      <c r="A198" s="6"/>
      <c r="B198" s="6" t="s">
        <v>275</v>
      </c>
      <c r="C198" s="6"/>
      <c r="D198" s="33" t="s">
        <v>279</v>
      </c>
      <c r="E198" s="33"/>
      <c r="F198" s="33"/>
      <c r="G198" s="33"/>
      <c r="H198" s="10">
        <f>'LBP NO. 1'!N250</f>
        <v>12093000</v>
      </c>
      <c r="I198" s="6"/>
      <c r="J198" s="10"/>
      <c r="K198" s="10"/>
    </row>
    <row r="199" spans="1:11" x14ac:dyDescent="0.2">
      <c r="A199" s="6"/>
      <c r="B199" s="6" t="s">
        <v>276</v>
      </c>
      <c r="C199" s="6"/>
      <c r="D199" s="33" t="s">
        <v>279</v>
      </c>
      <c r="E199" s="33"/>
      <c r="F199" s="33"/>
      <c r="G199" s="33"/>
      <c r="H199" s="10">
        <f>SUM('LBP NO. 1'!N345-'LBP NO. 1'!N344)</f>
        <v>12089057</v>
      </c>
      <c r="I199" s="6"/>
      <c r="J199" s="10"/>
      <c r="K199" s="10"/>
    </row>
    <row r="200" spans="1:11" x14ac:dyDescent="0.2">
      <c r="A200" s="6"/>
      <c r="B200" s="6"/>
      <c r="C200" s="6" t="s">
        <v>277</v>
      </c>
      <c r="D200" s="33" t="s">
        <v>279</v>
      </c>
      <c r="E200" s="33"/>
      <c r="F200" s="33"/>
      <c r="G200" s="33"/>
      <c r="H200" s="11">
        <f>H159</f>
        <v>0</v>
      </c>
      <c r="I200" s="6"/>
      <c r="J200" s="10"/>
      <c r="K200" s="10"/>
    </row>
    <row r="201" spans="1:11" ht="13.5" thickBot="1" x14ac:dyDescent="0.25">
      <c r="A201" s="6"/>
      <c r="B201" s="7" t="s">
        <v>20</v>
      </c>
      <c r="C201" s="7"/>
      <c r="D201" s="33" t="s">
        <v>279</v>
      </c>
      <c r="E201" s="33"/>
      <c r="F201" s="33"/>
      <c r="G201" s="33"/>
      <c r="H201" s="32">
        <f>H198-H199-H200</f>
        <v>3943</v>
      </c>
      <c r="I201" s="6"/>
      <c r="J201" s="10"/>
      <c r="K201" s="10"/>
    </row>
    <row r="202" spans="1:11" ht="13.5" thickTop="1" x14ac:dyDescent="0.2">
      <c r="A202" s="6"/>
      <c r="B202" s="6"/>
      <c r="C202" s="6"/>
      <c r="D202" s="6"/>
      <c r="E202" s="6"/>
      <c r="F202" s="6"/>
      <c r="G202" s="6"/>
      <c r="H202" s="10"/>
      <c r="I202" s="6"/>
      <c r="J202" s="10"/>
      <c r="K202" s="10"/>
    </row>
    <row r="203" spans="1:11" x14ac:dyDescent="0.2">
      <c r="A203" s="6"/>
      <c r="B203" s="6"/>
      <c r="C203" s="6"/>
      <c r="D203" s="6"/>
      <c r="E203" s="6"/>
      <c r="F203" s="6"/>
      <c r="G203" s="6"/>
      <c r="H203" s="6"/>
      <c r="I203" s="6"/>
      <c r="J203" s="10"/>
      <c r="K203" s="10"/>
    </row>
    <row r="204" spans="1:11" x14ac:dyDescent="0.2">
      <c r="A204" s="6"/>
      <c r="B204" s="6"/>
      <c r="C204" s="6"/>
      <c r="D204" s="6"/>
      <c r="E204" s="6"/>
      <c r="F204" s="6"/>
      <c r="G204" s="6"/>
      <c r="H204" s="6"/>
      <c r="I204" s="6"/>
      <c r="J204" s="10"/>
      <c r="K204" s="10"/>
    </row>
    <row r="205" spans="1:11" x14ac:dyDescent="0.2">
      <c r="A205" s="6"/>
      <c r="B205" s="6"/>
      <c r="C205" s="6"/>
      <c r="D205" s="6"/>
      <c r="E205" s="6"/>
      <c r="F205" s="6"/>
      <c r="G205" s="6"/>
      <c r="H205" s="6"/>
      <c r="I205" s="6"/>
      <c r="J205" s="10"/>
      <c r="K205" s="10"/>
    </row>
    <row r="206" spans="1:11" x14ac:dyDescent="0.2">
      <c r="A206" s="6"/>
      <c r="B206" s="6"/>
      <c r="C206" s="6"/>
      <c r="D206" s="6"/>
      <c r="E206" s="6"/>
      <c r="F206" s="6"/>
      <c r="G206" s="6"/>
      <c r="H206" s="6"/>
      <c r="I206" s="6"/>
      <c r="J206" s="10"/>
      <c r="K206" s="10"/>
    </row>
    <row r="207" spans="1:11" x14ac:dyDescent="0.2">
      <c r="A207" s="6"/>
      <c r="B207" s="6"/>
      <c r="C207" s="6"/>
      <c r="D207" s="6"/>
      <c r="E207" s="6"/>
      <c r="F207" s="6"/>
      <c r="G207" s="6"/>
      <c r="H207" s="6"/>
      <c r="I207" s="6"/>
      <c r="J207" s="10"/>
      <c r="K207" s="10"/>
    </row>
    <row r="208" spans="1:11" x14ac:dyDescent="0.2">
      <c r="A208" s="6"/>
      <c r="B208" s="6"/>
      <c r="C208" s="6"/>
      <c r="D208" s="6"/>
      <c r="E208" s="6"/>
      <c r="F208" s="6"/>
      <c r="G208" s="6"/>
      <c r="H208" s="6"/>
      <c r="I208" s="6"/>
      <c r="J208" s="10"/>
      <c r="K208" s="10"/>
    </row>
    <row r="209" spans="1:11" x14ac:dyDescent="0.2">
      <c r="A209" s="6"/>
      <c r="B209" s="6"/>
      <c r="C209" s="6"/>
      <c r="D209" s="6"/>
      <c r="E209" s="6"/>
      <c r="F209" s="6"/>
      <c r="G209" s="6"/>
      <c r="H209" s="6"/>
      <c r="I209" s="6"/>
      <c r="J209" s="10"/>
      <c r="K209" s="10"/>
    </row>
    <row r="210" spans="1:11" x14ac:dyDescent="0.2">
      <c r="A210" s="6"/>
      <c r="B210" s="6"/>
      <c r="C210" s="6"/>
      <c r="D210" s="6"/>
      <c r="E210" s="6"/>
      <c r="F210" s="6"/>
      <c r="G210" s="6"/>
      <c r="H210" s="6"/>
      <c r="I210" s="6"/>
      <c r="J210" s="10"/>
      <c r="K210" s="10"/>
    </row>
    <row r="211" spans="1:11" x14ac:dyDescent="0.2">
      <c r="A211" s="6"/>
      <c r="B211" s="6"/>
      <c r="C211" s="6"/>
      <c r="D211" s="6"/>
      <c r="E211" s="6"/>
      <c r="F211" s="6"/>
      <c r="G211" s="6"/>
      <c r="H211" s="6"/>
      <c r="I211" s="6"/>
      <c r="J211" s="10"/>
      <c r="K211" s="10"/>
    </row>
    <row r="212" spans="1:11" x14ac:dyDescent="0.2">
      <c r="A212" s="6"/>
      <c r="B212" s="6"/>
      <c r="C212" s="6"/>
      <c r="D212" s="6"/>
      <c r="E212" s="6"/>
      <c r="F212" s="6"/>
      <c r="G212" s="6"/>
      <c r="H212" s="6"/>
      <c r="I212" s="6"/>
      <c r="J212" s="10"/>
      <c r="K212" s="10"/>
    </row>
    <row r="213" spans="1:11" x14ac:dyDescent="0.2">
      <c r="A213" s="22"/>
      <c r="B213" s="22"/>
      <c r="C213" s="22"/>
      <c r="D213" s="22"/>
      <c r="E213" s="22"/>
      <c r="F213" s="22"/>
      <c r="G213" s="22"/>
      <c r="H213" s="22"/>
      <c r="I213" s="22"/>
      <c r="J213" s="10"/>
      <c r="K213" s="10"/>
    </row>
    <row r="214" spans="1:11" x14ac:dyDescent="0.2">
      <c r="A214" s="22"/>
      <c r="B214" s="22"/>
      <c r="C214" s="22"/>
      <c r="D214" s="22"/>
      <c r="E214" s="22"/>
      <c r="F214" s="22"/>
      <c r="G214" s="22"/>
      <c r="H214" s="22"/>
      <c r="I214" s="22"/>
      <c r="J214" s="10"/>
      <c r="K214" s="10"/>
    </row>
    <row r="215" spans="1:11" x14ac:dyDescent="0.2">
      <c r="A215" s="22"/>
      <c r="B215" s="22"/>
      <c r="C215" s="22"/>
      <c r="D215" s="22"/>
      <c r="E215" s="22"/>
      <c r="F215" s="22"/>
      <c r="G215" s="22"/>
      <c r="H215" s="22"/>
      <c r="I215" s="22"/>
      <c r="J215" s="10"/>
      <c r="K215" s="10"/>
    </row>
    <row r="216" spans="1:11" x14ac:dyDescent="0.2">
      <c r="A216" s="22"/>
      <c r="B216" s="22"/>
      <c r="C216" s="22"/>
      <c r="D216" s="22"/>
      <c r="E216" s="22"/>
      <c r="F216" s="22"/>
      <c r="G216" s="22"/>
      <c r="H216" s="22"/>
      <c r="I216" s="22"/>
      <c r="J216" s="10"/>
      <c r="K216" s="10"/>
    </row>
    <row r="217" spans="1:11" x14ac:dyDescent="0.2">
      <c r="A217" s="22"/>
      <c r="B217" s="22"/>
      <c r="C217" s="22"/>
      <c r="D217" s="22"/>
      <c r="E217" s="22"/>
      <c r="F217" s="22"/>
      <c r="G217" s="22"/>
      <c r="H217" s="22"/>
      <c r="I217" s="22"/>
      <c r="J217" s="10"/>
      <c r="K217" s="10"/>
    </row>
    <row r="218" spans="1:11" x14ac:dyDescent="0.2">
      <c r="A218" s="22"/>
      <c r="B218" s="22"/>
      <c r="C218" s="22"/>
      <c r="D218" s="22"/>
      <c r="E218" s="22"/>
      <c r="F218" s="22"/>
      <c r="G218" s="22"/>
      <c r="H218" s="22"/>
      <c r="I218" s="22"/>
    </row>
    <row r="219" spans="1:11" x14ac:dyDescent="0.2">
      <c r="A219" s="22"/>
      <c r="B219" s="22"/>
      <c r="C219" s="22"/>
      <c r="D219" s="22"/>
      <c r="E219" s="22"/>
      <c r="F219" s="22"/>
      <c r="G219" s="22"/>
      <c r="H219" s="22"/>
      <c r="I219" s="22"/>
    </row>
    <row r="220" spans="1:11" x14ac:dyDescent="0.2">
      <c r="A220" s="22"/>
      <c r="B220" s="22"/>
      <c r="C220" s="22"/>
      <c r="D220" s="22"/>
      <c r="E220" s="22"/>
      <c r="F220" s="22"/>
      <c r="G220" s="22"/>
      <c r="H220" s="22"/>
      <c r="I220" s="22"/>
    </row>
    <row r="221" spans="1:11" x14ac:dyDescent="0.2">
      <c r="A221" s="22"/>
      <c r="B221" s="22"/>
      <c r="C221" s="22"/>
      <c r="D221" s="22"/>
      <c r="E221" s="22"/>
      <c r="F221" s="22"/>
      <c r="G221" s="22"/>
      <c r="H221" s="22"/>
      <c r="I221" s="22"/>
    </row>
    <row r="250" spans="1:14" ht="20.100000000000001" customHeight="1" x14ac:dyDescent="0.25">
      <c r="A250" s="1305">
        <v>4</v>
      </c>
      <c r="B250" s="1305"/>
      <c r="C250" s="1305"/>
      <c r="D250" s="1305"/>
      <c r="E250" s="1305"/>
      <c r="F250" s="1305"/>
      <c r="G250" s="1305"/>
      <c r="H250" s="1305"/>
      <c r="I250" s="1305"/>
    </row>
    <row r="251" spans="1:14" ht="20.25" x14ac:dyDescent="0.3">
      <c r="F251" s="1304"/>
      <c r="G251" s="1304"/>
      <c r="H251" s="1304"/>
      <c r="I251" s="1304"/>
      <c r="J251" s="1304"/>
      <c r="K251" s="1304"/>
      <c r="L251" s="1304"/>
      <c r="M251" s="1304"/>
      <c r="N251" s="1304"/>
    </row>
  </sheetData>
  <mergeCells count="14">
    <mergeCell ref="F251:N251"/>
    <mergeCell ref="A250:I250"/>
    <mergeCell ref="A139:I139"/>
    <mergeCell ref="A142:I142"/>
    <mergeCell ref="A3:I3"/>
    <mergeCell ref="A4:I4"/>
    <mergeCell ref="A5:I5"/>
    <mergeCell ref="A9:I9"/>
    <mergeCell ref="A135:I135"/>
    <mergeCell ref="A11:I11"/>
    <mergeCell ref="A133:I133"/>
    <mergeCell ref="A134:I134"/>
    <mergeCell ref="A63:I63"/>
    <mergeCell ref="A129:I129"/>
  </mergeCells>
  <phoneticPr fontId="7" type="noConversion"/>
  <printOptions horizontalCentered="1"/>
  <pageMargins left="1" right="0" top="1" bottom="0" header="0.3" footer="0"/>
  <pageSetup paperSize="256" orientation="portrait" r:id="rId1"/>
  <headerFooter alignWithMargins="0">
    <oddFooter xml:space="preserve">&amp;C&amp;"Times New Roman,Bold"&amp;14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LBP NO. 1</vt:lpstr>
      <vt:lpstr>LBP NO. 2</vt:lpstr>
      <vt:lpstr>LBP NO. 2a</vt:lpstr>
      <vt:lpstr>LBP NO. 3a per office</vt:lpstr>
      <vt:lpstr>LBP No. 4</vt:lpstr>
      <vt:lpstr>LBP NO. 5</vt:lpstr>
      <vt:lpstr>LBP NO. 6</vt:lpstr>
      <vt:lpstr>LBP NO. 7</vt:lpstr>
      <vt:lpstr>PROPOSED BUDGET</vt:lpstr>
      <vt:lpstr>2021 Annual Budget</vt:lpstr>
      <vt:lpstr>'2021 Annual Budget'!Print_Area</vt:lpstr>
      <vt:lpstr>'LBP NO. 1'!Print_Area</vt:lpstr>
      <vt:lpstr>'LBP NO. 2'!Print_Area</vt:lpstr>
      <vt:lpstr>'LBP NO. 2a'!Print_Area</vt:lpstr>
      <vt:lpstr>'LBP NO. 3a per office'!Print_Area</vt:lpstr>
      <vt:lpstr>'LBP No. 4'!Print_Area</vt:lpstr>
      <vt:lpstr>'LBP NO. 5'!Print_Area</vt:lpstr>
      <vt:lpstr>'LBP NO. 6'!Print_Area</vt:lpstr>
      <vt:lpstr>'LBP NO. 7'!Print_Area</vt:lpstr>
      <vt:lpstr>'PROPOSED BUDGET'!Print_Area</vt:lpstr>
      <vt:lpstr>'2021 Annual Budget'!Print_Titles</vt:lpstr>
      <vt:lpstr>'LBP NO. 2a'!Print_Titles</vt:lpstr>
      <vt:lpstr>'LBP No. 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MTO Asingan</cp:lastModifiedBy>
  <cp:lastPrinted>2020-11-24T23:44:47Z</cp:lastPrinted>
  <dcterms:created xsi:type="dcterms:W3CDTF">2006-05-18T08:42:29Z</dcterms:created>
  <dcterms:modified xsi:type="dcterms:W3CDTF">2021-01-11T06:16:00Z</dcterms:modified>
</cp:coreProperties>
</file>